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160" firstSheet="1" activeTab="3"/>
  </bookViews>
  <sheets>
    <sheet name="RN12" sheetId="3" r:id="rId1"/>
    <sheet name="Clasificacion DNV" sheetId="16" r:id="rId2"/>
    <sheet name="Tabla TMDA y Clasif. Informe" sheetId="28" r:id="rId3"/>
    <sheet name="Censo NN - P1" sheetId="20" r:id="rId4"/>
    <sheet name="Censo NN - P2" sheetId="21" r:id="rId5"/>
    <sheet name="Censo NN - P3" sheetId="22" r:id="rId6"/>
    <sheet name="Cálculo TMDA" sheetId="27" r:id="rId7"/>
    <sheet name="Clasificación Proyecto" sheetId="30" r:id="rId8"/>
    <sheet name="Circunvalación Proyección" sheetId="19" r:id="rId9"/>
    <sheet name="Proyecciones PEAJES (2)" sheetId="15" state="hidden" r:id="rId10"/>
  </sheets>
  <definedNames>
    <definedName name="_xlnm._FilterDatabase" localSheetId="0" hidden="1">'RN12'!$A$3:$AG$39</definedName>
    <definedName name="_xlnm._FilterDatabase" localSheetId="2" hidden="1">'Tabla TMDA y Clasif. Informe'!$C$3:$G$3</definedName>
    <definedName name="_xlnm.Print_Area" localSheetId="9">'Proyecciones PEAJES (2)'!$B$1:$V$109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22"/>
  <c r="D49"/>
  <c r="AB3" i="16"/>
  <c r="E49" i="27"/>
  <c r="E42"/>
  <c r="V3" i="16"/>
  <c r="W3"/>
  <c r="X3"/>
  <c r="Y3"/>
  <c r="Z3"/>
  <c r="AA3"/>
  <c r="V4"/>
  <c r="W4"/>
  <c r="X4"/>
  <c r="Y4"/>
  <c r="Z4"/>
  <c r="AA4"/>
  <c r="AB4"/>
  <c r="T4"/>
  <c r="K28" i="19" l="1"/>
  <c r="L28" s="1"/>
  <c r="M10"/>
  <c r="H34" i="30"/>
  <c r="H35" s="1"/>
  <c r="F12" i="19" l="1"/>
  <c r="G12" s="1"/>
  <c r="H12" s="1"/>
  <c r="I12" s="1"/>
  <c r="J12" s="1"/>
  <c r="K12" s="1"/>
  <c r="L12" s="1"/>
  <c r="AC38" i="20"/>
  <c r="AC39" s="1"/>
  <c r="M12" i="19" l="1"/>
  <c r="E18" s="1"/>
  <c r="F18" s="1"/>
  <c r="G18" s="1"/>
  <c r="H18" s="1"/>
  <c r="I18" s="1"/>
  <c r="J18" s="1"/>
  <c r="K18" s="1"/>
  <c r="L18" s="1"/>
  <c r="E24" s="1"/>
  <c r="F24" s="1"/>
  <c r="G24" s="1"/>
  <c r="H24" s="1"/>
  <c r="I24" s="1"/>
  <c r="J24" s="1"/>
  <c r="K24" s="1"/>
  <c r="L24" s="1"/>
  <c r="E30" s="1"/>
  <c r="F30" s="1"/>
  <c r="G30" s="1"/>
  <c r="H30" s="1"/>
  <c r="I30" s="1"/>
  <c r="J30" s="1"/>
  <c r="K30" s="1"/>
  <c r="L30" s="1"/>
  <c r="H36" i="30"/>
  <c r="H37" s="1"/>
  <c r="H39"/>
  <c r="H40"/>
  <c r="H41"/>
  <c r="H42"/>
  <c r="H43"/>
  <c r="H44"/>
  <c r="H45"/>
  <c r="F22" l="1"/>
  <c r="N22"/>
  <c r="E22"/>
  <c r="K22"/>
  <c r="G22"/>
  <c r="L22"/>
  <c r="J22"/>
  <c r="M22"/>
  <c r="H22"/>
  <c r="I22"/>
  <c r="B36" i="19" l="1"/>
  <c r="I4" i="28"/>
  <c r="I5"/>
  <c r="AB38" i="21"/>
  <c r="AB39" s="1"/>
  <c r="U38"/>
  <c r="U39" s="1"/>
  <c r="N38"/>
  <c r="N39" s="1"/>
  <c r="G38"/>
  <c r="G39" s="1"/>
  <c r="U38" i="20"/>
  <c r="U39" s="1"/>
  <c r="N38"/>
  <c r="N39" s="1"/>
  <c r="G38"/>
  <c r="G39" s="1"/>
  <c r="G24" i="21"/>
  <c r="G24" i="22"/>
  <c r="C24" i="20"/>
  <c r="J24"/>
  <c r="X24"/>
  <c r="Q24"/>
  <c r="AG39" i="27" l="1"/>
  <c r="AB34"/>
  <c r="AC33"/>
  <c r="AC34" s="1"/>
  <c r="L53" i="22"/>
  <c r="L54"/>
  <c r="J54"/>
  <c r="L46"/>
  <c r="J46"/>
  <c r="L47" i="21"/>
  <c r="J47"/>
  <c r="L47" i="20"/>
  <c r="J47"/>
  <c r="L55" i="21"/>
  <c r="J55"/>
  <c r="G55"/>
  <c r="L52" i="20"/>
  <c r="L53"/>
  <c r="L54"/>
  <c r="L55"/>
  <c r="J52"/>
  <c r="J51"/>
  <c r="J53"/>
  <c r="J54"/>
  <c r="J55"/>
  <c r="J50"/>
  <c r="G55"/>
  <c r="AD34" i="27" l="1"/>
  <c r="L50" i="20"/>
  <c r="S19"/>
  <c r="Z19"/>
  <c r="S19" i="21"/>
  <c r="J49"/>
  <c r="J48" i="22"/>
  <c r="H46" i="20"/>
  <c r="H45" i="22"/>
  <c r="D47"/>
  <c r="D48"/>
  <c r="D45"/>
  <c r="J52"/>
  <c r="J49"/>
  <c r="J50"/>
  <c r="J51"/>
  <c r="J53"/>
  <c r="S19"/>
  <c r="L19"/>
  <c r="E19"/>
  <c r="Q25"/>
  <c r="E19" i="20"/>
  <c r="L19"/>
  <c r="X25"/>
  <c r="Q25"/>
  <c r="J25"/>
  <c r="AB24"/>
  <c r="U24"/>
  <c r="N24"/>
  <c r="G24"/>
  <c r="M24" i="22"/>
  <c r="N24" s="1"/>
  <c r="J50" i="21"/>
  <c r="L49"/>
  <c r="M20" i="22" l="1"/>
  <c r="F20"/>
  <c r="M20" i="20"/>
  <c r="F20"/>
  <c r="T20" i="22"/>
  <c r="J56"/>
  <c r="E49"/>
  <c r="T20" i="21"/>
  <c r="T20" i="20"/>
  <c r="AA20"/>
  <c r="L52" i="22"/>
  <c r="L50"/>
  <c r="L48"/>
  <c r="T24"/>
  <c r="U24" s="1"/>
  <c r="X25" i="21"/>
  <c r="Q25"/>
  <c r="J25"/>
  <c r="M24"/>
  <c r="N24" s="1"/>
  <c r="L19"/>
  <c r="E19"/>
  <c r="F20" l="1"/>
  <c r="M20"/>
  <c r="T24"/>
  <c r="U24" s="1"/>
  <c r="E89" i="27"/>
  <c r="E64"/>
  <c r="G63"/>
  <c r="G49" i="22"/>
  <c r="G48"/>
  <c r="J51" i="21"/>
  <c r="J52"/>
  <c r="J53"/>
  <c r="J54"/>
  <c r="H46"/>
  <c r="G50"/>
  <c r="G49"/>
  <c r="J49" i="20"/>
  <c r="J57" s="1"/>
  <c r="G50"/>
  <c r="G49"/>
  <c r="G5" i="22"/>
  <c r="N5"/>
  <c r="U5"/>
  <c r="G5" i="21"/>
  <c r="N5"/>
  <c r="U5"/>
  <c r="AB5"/>
  <c r="Z19"/>
  <c r="G5" i="20"/>
  <c r="N5"/>
  <c r="U5"/>
  <c r="AB5"/>
  <c r="AA20" i="21" l="1"/>
  <c r="J57"/>
  <c r="AA24"/>
  <c r="AB24" s="1"/>
  <c r="F10" i="19"/>
  <c r="G10" s="1"/>
  <c r="H10" s="1"/>
  <c r="I10" s="1"/>
  <c r="J10" s="1"/>
  <c r="K10" s="1"/>
  <c r="L10" s="1"/>
  <c r="E16" s="1"/>
  <c r="F16" s="1"/>
  <c r="G16" s="1"/>
  <c r="H16" s="1"/>
  <c r="I16" s="1"/>
  <c r="J16" s="1"/>
  <c r="K16" s="1"/>
  <c r="L16" s="1"/>
  <c r="E22" s="1"/>
  <c r="F22" s="1"/>
  <c r="G22" s="1"/>
  <c r="H22" s="1"/>
  <c r="I22" s="1"/>
  <c r="J22" s="1"/>
  <c r="K22" s="1"/>
  <c r="L22" s="1"/>
  <c r="E28" s="1"/>
  <c r="F28" s="1"/>
  <c r="G28" s="1"/>
  <c r="H28" s="1"/>
  <c r="I28" s="1"/>
  <c r="J28" s="1"/>
  <c r="AG40" i="27" l="1"/>
  <c r="K48" i="22"/>
  <c r="K54"/>
  <c r="K50" i="21"/>
  <c r="K55"/>
  <c r="K49" i="20"/>
  <c r="K55"/>
  <c r="K54"/>
  <c r="K51"/>
  <c r="K52"/>
  <c r="K53"/>
  <c r="K50"/>
  <c r="K52" i="22"/>
  <c r="K50"/>
  <c r="K49" i="21"/>
  <c r="K54"/>
  <c r="K52"/>
  <c r="K51"/>
  <c r="K53"/>
  <c r="I41" i="27"/>
  <c r="E46" i="22"/>
  <c r="E47"/>
  <c r="K51"/>
  <c r="K49"/>
  <c r="K53"/>
  <c r="E45"/>
  <c r="E48"/>
  <c r="I48" i="27" l="1"/>
  <c r="K48" s="1"/>
  <c r="K41"/>
  <c r="K56" i="22"/>
  <c r="K57" i="21"/>
  <c r="K57" i="20"/>
  <c r="E48" i="27" l="1"/>
  <c r="G48" s="1"/>
  <c r="E41"/>
  <c r="G41" s="1"/>
  <c r="O6"/>
  <c r="K39" i="3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O4" s="1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O22" i="27" l="1"/>
  <c r="Q6"/>
  <c r="Q22"/>
  <c r="P4" i="3"/>
  <c r="O48" s="1"/>
  <c r="L4"/>
  <c r="N4"/>
  <c r="I49" i="27" l="1"/>
  <c r="AD42"/>
  <c r="Q14"/>
  <c r="N48" i="3"/>
  <c r="T4"/>
  <c r="S4"/>
  <c r="Q4"/>
  <c r="P48" s="1"/>
  <c r="R4"/>
  <c r="C82" i="15"/>
  <c r="D82" s="1"/>
  <c r="E82" s="1"/>
  <c r="F82" s="1"/>
  <c r="C108"/>
  <c r="D108" s="1"/>
  <c r="E108" s="1"/>
  <c r="F108" s="1"/>
  <c r="C107"/>
  <c r="D107" s="1"/>
  <c r="E107" s="1"/>
  <c r="F107" s="1"/>
  <c r="C106"/>
  <c r="D106" s="1"/>
  <c r="E106" s="1"/>
  <c r="F106" s="1"/>
  <c r="C105"/>
  <c r="D105" s="1"/>
  <c r="E105" s="1"/>
  <c r="F105" s="1"/>
  <c r="C104"/>
  <c r="D104" s="1"/>
  <c r="E104" s="1"/>
  <c r="F104" s="1"/>
  <c r="C103"/>
  <c r="D103" s="1"/>
  <c r="E103" s="1"/>
  <c r="F103" s="1"/>
  <c r="C101"/>
  <c r="D101" s="1"/>
  <c r="E101" s="1"/>
  <c r="F101" s="1"/>
  <c r="C100"/>
  <c r="D100" s="1"/>
  <c r="E100" s="1"/>
  <c r="F100" s="1"/>
  <c r="C99"/>
  <c r="D99" s="1"/>
  <c r="E99" s="1"/>
  <c r="F99" s="1"/>
  <c r="C98"/>
  <c r="D98" s="1"/>
  <c r="E98" s="1"/>
  <c r="F98" s="1"/>
  <c r="C97"/>
  <c r="D97" s="1"/>
  <c r="E97" s="1"/>
  <c r="F97" s="1"/>
  <c r="C96"/>
  <c r="D96" s="1"/>
  <c r="E96" s="1"/>
  <c r="F96" s="1"/>
  <c r="C94"/>
  <c r="D94" s="1"/>
  <c r="E94" s="1"/>
  <c r="F94" s="1"/>
  <c r="C93"/>
  <c r="D93" s="1"/>
  <c r="E93" s="1"/>
  <c r="F93" s="1"/>
  <c r="C92"/>
  <c r="D92" s="1"/>
  <c r="E92" s="1"/>
  <c r="F92" s="1"/>
  <c r="C91"/>
  <c r="D91" s="1"/>
  <c r="C90"/>
  <c r="D90" s="1"/>
  <c r="E90" s="1"/>
  <c r="F90" s="1"/>
  <c r="C89"/>
  <c r="D89" s="1"/>
  <c r="E89" s="1"/>
  <c r="F89" s="1"/>
  <c r="C87"/>
  <c r="D87" s="1"/>
  <c r="E87" s="1"/>
  <c r="F87" s="1"/>
  <c r="C86"/>
  <c r="D86" s="1"/>
  <c r="E86" s="1"/>
  <c r="F86" s="1"/>
  <c r="C85"/>
  <c r="D85" s="1"/>
  <c r="E85" s="1"/>
  <c r="F85" s="1"/>
  <c r="C84"/>
  <c r="D84" s="1"/>
  <c r="E84" s="1"/>
  <c r="F84" s="1"/>
  <c r="C83"/>
  <c r="D83" s="1"/>
  <c r="C47"/>
  <c r="D47" s="1"/>
  <c r="C72"/>
  <c r="D72" s="1"/>
  <c r="E72" s="1"/>
  <c r="F72" s="1"/>
  <c r="C71"/>
  <c r="D71" s="1"/>
  <c r="E71" s="1"/>
  <c r="F71" s="1"/>
  <c r="C70"/>
  <c r="D70" s="1"/>
  <c r="E70" s="1"/>
  <c r="F70" s="1"/>
  <c r="C69"/>
  <c r="D69" s="1"/>
  <c r="E69" s="1"/>
  <c r="F69" s="1"/>
  <c r="C68"/>
  <c r="D68" s="1"/>
  <c r="E68" s="1"/>
  <c r="F68" s="1"/>
  <c r="C67"/>
  <c r="D67" s="1"/>
  <c r="E67" s="1"/>
  <c r="F67" s="1"/>
  <c r="C65"/>
  <c r="D65" s="1"/>
  <c r="E65" s="1"/>
  <c r="F65" s="1"/>
  <c r="C64"/>
  <c r="D64" s="1"/>
  <c r="E64" s="1"/>
  <c r="F64" s="1"/>
  <c r="C63"/>
  <c r="D63" s="1"/>
  <c r="E63" s="1"/>
  <c r="F63" s="1"/>
  <c r="C62"/>
  <c r="D62" s="1"/>
  <c r="E62" s="1"/>
  <c r="F62" s="1"/>
  <c r="C61"/>
  <c r="D61" s="1"/>
  <c r="C60"/>
  <c r="D60" s="1"/>
  <c r="E60" s="1"/>
  <c r="F60" s="1"/>
  <c r="C58"/>
  <c r="D58" s="1"/>
  <c r="E58" s="1"/>
  <c r="F58" s="1"/>
  <c r="C57"/>
  <c r="D57" s="1"/>
  <c r="E57" s="1"/>
  <c r="F57" s="1"/>
  <c r="C56"/>
  <c r="D56" s="1"/>
  <c r="E56" s="1"/>
  <c r="F56" s="1"/>
  <c r="C55"/>
  <c r="D55" s="1"/>
  <c r="E55" s="1"/>
  <c r="F55" s="1"/>
  <c r="C54"/>
  <c r="D54" s="1"/>
  <c r="E54" s="1"/>
  <c r="F54" s="1"/>
  <c r="C53"/>
  <c r="D53" s="1"/>
  <c r="E53" s="1"/>
  <c r="F53" s="1"/>
  <c r="C51"/>
  <c r="D51" s="1"/>
  <c r="E51" s="1"/>
  <c r="F51" s="1"/>
  <c r="C50"/>
  <c r="D50" s="1"/>
  <c r="E50" s="1"/>
  <c r="F50" s="1"/>
  <c r="C49"/>
  <c r="D49" s="1"/>
  <c r="E49" s="1"/>
  <c r="F49" s="1"/>
  <c r="C48"/>
  <c r="D48" s="1"/>
  <c r="E48" s="1"/>
  <c r="F48" s="1"/>
  <c r="C46"/>
  <c r="D46" s="1"/>
  <c r="E46" s="1"/>
  <c r="F46" s="1"/>
  <c r="C36"/>
  <c r="D36" s="1"/>
  <c r="E36" s="1"/>
  <c r="F36" s="1"/>
  <c r="C35"/>
  <c r="D35" s="1"/>
  <c r="E35" s="1"/>
  <c r="F35" s="1"/>
  <c r="C34"/>
  <c r="D34" s="1"/>
  <c r="E34" s="1"/>
  <c r="F34" s="1"/>
  <c r="C33"/>
  <c r="D33" s="1"/>
  <c r="E33" s="1"/>
  <c r="F33" s="1"/>
  <c r="C32"/>
  <c r="D32" s="1"/>
  <c r="E32" s="1"/>
  <c r="F32" s="1"/>
  <c r="C31"/>
  <c r="D31" s="1"/>
  <c r="C29"/>
  <c r="D29" s="1"/>
  <c r="E29" s="1"/>
  <c r="F29" s="1"/>
  <c r="C28"/>
  <c r="D28" s="1"/>
  <c r="E28" s="1"/>
  <c r="F28" s="1"/>
  <c r="C27"/>
  <c r="D27" s="1"/>
  <c r="E27" s="1"/>
  <c r="F27" s="1"/>
  <c r="C26"/>
  <c r="D26" s="1"/>
  <c r="E26" s="1"/>
  <c r="F26" s="1"/>
  <c r="C25"/>
  <c r="D25" s="1"/>
  <c r="E25" s="1"/>
  <c r="F25" s="1"/>
  <c r="C24"/>
  <c r="D24" s="1"/>
  <c r="E24" s="1"/>
  <c r="C22"/>
  <c r="D22" s="1"/>
  <c r="E22" s="1"/>
  <c r="F22" s="1"/>
  <c r="C21"/>
  <c r="D21" s="1"/>
  <c r="E21" s="1"/>
  <c r="F21" s="1"/>
  <c r="C20"/>
  <c r="D20" s="1"/>
  <c r="E20" s="1"/>
  <c r="F20" s="1"/>
  <c r="C19"/>
  <c r="D19" s="1"/>
  <c r="E19" s="1"/>
  <c r="F19" s="1"/>
  <c r="C18"/>
  <c r="D18" s="1"/>
  <c r="C17"/>
  <c r="D17" s="1"/>
  <c r="E17" s="1"/>
  <c r="F17" s="1"/>
  <c r="C15"/>
  <c r="D15" s="1"/>
  <c r="E15" s="1"/>
  <c r="F15" s="1"/>
  <c r="C14"/>
  <c r="D14" s="1"/>
  <c r="E14" s="1"/>
  <c r="F14" s="1"/>
  <c r="C13"/>
  <c r="D13" s="1"/>
  <c r="E13" s="1"/>
  <c r="F13" s="1"/>
  <c r="C12"/>
  <c r="D12" s="1"/>
  <c r="E12" s="1"/>
  <c r="C11"/>
  <c r="D11" s="1"/>
  <c r="E11" s="1"/>
  <c r="F11" s="1"/>
  <c r="C10"/>
  <c r="D10" s="1"/>
  <c r="E10" s="1"/>
  <c r="F10" s="1"/>
  <c r="G8"/>
  <c r="H8" s="1"/>
  <c r="I8" s="1"/>
  <c r="J8" s="1"/>
  <c r="K8" s="1"/>
  <c r="N8" s="1"/>
  <c r="P8"/>
  <c r="Q8" s="1"/>
  <c r="R8" s="1"/>
  <c r="S8" s="1"/>
  <c r="T8" s="1"/>
  <c r="U8" s="1"/>
  <c r="G42" i="27" l="1"/>
  <c r="G43" s="1"/>
  <c r="I42"/>
  <c r="K42" s="1"/>
  <c r="G49"/>
  <c r="G50" s="1"/>
  <c r="K49"/>
  <c r="AE43"/>
  <c r="AD43" s="1"/>
  <c r="AE44"/>
  <c r="AD44" s="1"/>
  <c r="L38" i="20"/>
  <c r="S38"/>
  <c r="Z38"/>
  <c r="Q48" i="3"/>
  <c r="S48"/>
  <c r="R48"/>
  <c r="N62"/>
  <c r="N57"/>
  <c r="E91" i="15"/>
  <c r="F91" s="1"/>
  <c r="D88"/>
  <c r="D81"/>
  <c r="E83"/>
  <c r="F83" s="1"/>
  <c r="D102"/>
  <c r="D95"/>
  <c r="F102"/>
  <c r="F95"/>
  <c r="E95"/>
  <c r="E102"/>
  <c r="G25"/>
  <c r="H25" s="1"/>
  <c r="I25" s="1"/>
  <c r="J25" s="1"/>
  <c r="K25" s="1"/>
  <c r="N25" s="1"/>
  <c r="O25" s="1"/>
  <c r="P25" s="1"/>
  <c r="Q25" s="1"/>
  <c r="R25" s="1"/>
  <c r="S25" s="1"/>
  <c r="T25" s="1"/>
  <c r="U25" s="1"/>
  <c r="G22"/>
  <c r="H22" s="1"/>
  <c r="I22" s="1"/>
  <c r="J22" s="1"/>
  <c r="K22" s="1"/>
  <c r="N22" s="1"/>
  <c r="O22" s="1"/>
  <c r="P22" s="1"/>
  <c r="Q22" s="1"/>
  <c r="R22" s="1"/>
  <c r="S22" s="1"/>
  <c r="T22" s="1"/>
  <c r="U22" s="1"/>
  <c r="G13"/>
  <c r="H13" s="1"/>
  <c r="I13" s="1"/>
  <c r="J13" s="1"/>
  <c r="K13" s="1"/>
  <c r="N13" s="1"/>
  <c r="O13" s="1"/>
  <c r="P13" s="1"/>
  <c r="Q13" s="1"/>
  <c r="R13" s="1"/>
  <c r="S13" s="1"/>
  <c r="T13" s="1"/>
  <c r="U13" s="1"/>
  <c r="G29"/>
  <c r="H29" s="1"/>
  <c r="I29" s="1"/>
  <c r="J29" s="1"/>
  <c r="K29" s="1"/>
  <c r="N29" s="1"/>
  <c r="O29" s="1"/>
  <c r="P29" s="1"/>
  <c r="Q29" s="1"/>
  <c r="R29" s="1"/>
  <c r="S29" s="1"/>
  <c r="T29" s="1"/>
  <c r="U29" s="1"/>
  <c r="G28"/>
  <c r="H28" s="1"/>
  <c r="I28" s="1"/>
  <c r="J28" s="1"/>
  <c r="K28" s="1"/>
  <c r="N28" s="1"/>
  <c r="O28" s="1"/>
  <c r="P28" s="1"/>
  <c r="Q28" s="1"/>
  <c r="R28" s="1"/>
  <c r="S28" s="1"/>
  <c r="T28" s="1"/>
  <c r="U28" s="1"/>
  <c r="G21"/>
  <c r="H21" s="1"/>
  <c r="I21" s="1"/>
  <c r="J21" s="1"/>
  <c r="K21" s="1"/>
  <c r="N21" s="1"/>
  <c r="O21" s="1"/>
  <c r="P21" s="1"/>
  <c r="Q21" s="1"/>
  <c r="R21" s="1"/>
  <c r="S21" s="1"/>
  <c r="T21" s="1"/>
  <c r="U21" s="1"/>
  <c r="F66"/>
  <c r="G14"/>
  <c r="H14" s="1"/>
  <c r="I14" s="1"/>
  <c r="J14" s="1"/>
  <c r="K14" s="1"/>
  <c r="N14" s="1"/>
  <c r="O14" s="1"/>
  <c r="P14" s="1"/>
  <c r="Q14" s="1"/>
  <c r="R14" s="1"/>
  <c r="S14" s="1"/>
  <c r="T14" s="1"/>
  <c r="U14" s="1"/>
  <c r="G11"/>
  <c r="H11" s="1"/>
  <c r="G20"/>
  <c r="H20" s="1"/>
  <c r="I20" s="1"/>
  <c r="J20" s="1"/>
  <c r="K20" s="1"/>
  <c r="N20" s="1"/>
  <c r="O20" s="1"/>
  <c r="P20" s="1"/>
  <c r="Q20" s="1"/>
  <c r="R20" s="1"/>
  <c r="S20" s="1"/>
  <c r="T20" s="1"/>
  <c r="U20" s="1"/>
  <c r="G19"/>
  <c r="H19" s="1"/>
  <c r="I19" s="1"/>
  <c r="J19" s="1"/>
  <c r="K19" s="1"/>
  <c r="N19" s="1"/>
  <c r="O19" s="1"/>
  <c r="P19" s="1"/>
  <c r="Q19" s="1"/>
  <c r="R19" s="1"/>
  <c r="S19" s="1"/>
  <c r="T19" s="1"/>
  <c r="U19" s="1"/>
  <c r="G26"/>
  <c r="H26" s="1"/>
  <c r="I26" s="1"/>
  <c r="J26" s="1"/>
  <c r="K26" s="1"/>
  <c r="N26" s="1"/>
  <c r="O26" s="1"/>
  <c r="P26" s="1"/>
  <c r="Q26" s="1"/>
  <c r="R26" s="1"/>
  <c r="S26" s="1"/>
  <c r="T26" s="1"/>
  <c r="U26" s="1"/>
  <c r="G15"/>
  <c r="H15" s="1"/>
  <c r="I15" s="1"/>
  <c r="J15" s="1"/>
  <c r="K15" s="1"/>
  <c r="N15" s="1"/>
  <c r="O15" s="1"/>
  <c r="P15" s="1"/>
  <c r="Q15" s="1"/>
  <c r="R15" s="1"/>
  <c r="S15" s="1"/>
  <c r="T15" s="1"/>
  <c r="U15" s="1"/>
  <c r="D59"/>
  <c r="E61"/>
  <c r="G27"/>
  <c r="H27" s="1"/>
  <c r="I27" s="1"/>
  <c r="J27" s="1"/>
  <c r="K27" s="1"/>
  <c r="N27" s="1"/>
  <c r="O27" s="1"/>
  <c r="P27" s="1"/>
  <c r="Q27" s="1"/>
  <c r="R27" s="1"/>
  <c r="S27" s="1"/>
  <c r="T27" s="1"/>
  <c r="U27" s="1"/>
  <c r="D52"/>
  <c r="E52"/>
  <c r="D66"/>
  <c r="F52"/>
  <c r="E66"/>
  <c r="E47"/>
  <c r="D45"/>
  <c r="E31"/>
  <c r="D30"/>
  <c r="D16"/>
  <c r="E18"/>
  <c r="F18" s="1"/>
  <c r="G18" s="1"/>
  <c r="H18" s="1"/>
  <c r="I18" s="1"/>
  <c r="J18" s="1"/>
  <c r="K18" s="1"/>
  <c r="N18" s="1"/>
  <c r="O18" s="1"/>
  <c r="P18" s="1"/>
  <c r="Q18" s="1"/>
  <c r="R18" s="1"/>
  <c r="S18" s="1"/>
  <c r="T18" s="1"/>
  <c r="U18" s="1"/>
  <c r="F24"/>
  <c r="E23"/>
  <c r="D23"/>
  <c r="E9"/>
  <c r="F12"/>
  <c r="D9"/>
  <c r="K50" i="27" l="1"/>
  <c r="K43"/>
  <c r="L41" s="1"/>
  <c r="E13" i="19" s="1"/>
  <c r="E38" s="1"/>
  <c r="E38" i="20"/>
  <c r="AE42" i="27"/>
  <c r="S38" i="22"/>
  <c r="L38"/>
  <c r="E81" i="15"/>
  <c r="E88"/>
  <c r="F88"/>
  <c r="F81"/>
  <c r="F16"/>
  <c r="E59"/>
  <c r="F61"/>
  <c r="E16"/>
  <c r="F47"/>
  <c r="E45"/>
  <c r="F23"/>
  <c r="F31"/>
  <c r="E30"/>
  <c r="F9"/>
  <c r="G12"/>
  <c r="I11"/>
  <c r="L48" i="27" l="1"/>
  <c r="E14" i="19" s="1"/>
  <c r="E39" s="1"/>
  <c r="E38" i="22"/>
  <c r="D45" i="20"/>
  <c r="D47"/>
  <c r="D46"/>
  <c r="L53" i="21"/>
  <c r="D47"/>
  <c r="F59" i="15"/>
  <c r="F45"/>
  <c r="F30"/>
  <c r="H12"/>
  <c r="J11"/>
  <c r="D44" i="21" l="1"/>
  <c r="L54"/>
  <c r="L52"/>
  <c r="D46"/>
  <c r="D45"/>
  <c r="L51"/>
  <c r="I12" i="15"/>
  <c r="K11"/>
  <c r="J12" l="1"/>
  <c r="N11"/>
  <c r="K12" l="1"/>
  <c r="O11"/>
  <c r="N12" l="1"/>
  <c r="P11"/>
  <c r="O12" l="1"/>
  <c r="Q11"/>
  <c r="P80"/>
  <c r="Q80" s="1"/>
  <c r="R80" s="1"/>
  <c r="S80" s="1"/>
  <c r="T80" s="1"/>
  <c r="U80" s="1"/>
  <c r="G80"/>
  <c r="P44"/>
  <c r="Q44" s="1"/>
  <c r="R44" s="1"/>
  <c r="S44" s="1"/>
  <c r="T44" s="1"/>
  <c r="U44" s="1"/>
  <c r="G44"/>
  <c r="P79"/>
  <c r="Q79" s="1"/>
  <c r="R79" s="1"/>
  <c r="S79" s="1"/>
  <c r="T79" s="1"/>
  <c r="U79" s="1"/>
  <c r="G79"/>
  <c r="P43"/>
  <c r="Q43" s="1"/>
  <c r="R43" s="1"/>
  <c r="S43" s="1"/>
  <c r="T43" s="1"/>
  <c r="U43" s="1"/>
  <c r="G43"/>
  <c r="P7"/>
  <c r="Q7" s="1"/>
  <c r="R7" s="1"/>
  <c r="S7" s="1"/>
  <c r="T7" s="1"/>
  <c r="U7" s="1"/>
  <c r="G7"/>
  <c r="G94" l="1"/>
  <c r="G99"/>
  <c r="G85"/>
  <c r="G84"/>
  <c r="G93"/>
  <c r="G98"/>
  <c r="G97"/>
  <c r="G100"/>
  <c r="G86"/>
  <c r="G90"/>
  <c r="G101"/>
  <c r="G92"/>
  <c r="G87"/>
  <c r="G83"/>
  <c r="G91"/>
  <c r="G103"/>
  <c r="G106"/>
  <c r="G105"/>
  <c r="G104"/>
  <c r="G82"/>
  <c r="G107"/>
  <c r="G108"/>
  <c r="G89"/>
  <c r="G96"/>
  <c r="H79"/>
  <c r="H44"/>
  <c r="I44" s="1"/>
  <c r="J44" s="1"/>
  <c r="K44" s="1"/>
  <c r="N44" s="1"/>
  <c r="G56"/>
  <c r="G54"/>
  <c r="G57"/>
  <c r="G58"/>
  <c r="G62"/>
  <c r="G49"/>
  <c r="G48"/>
  <c r="G65"/>
  <c r="H65" s="1"/>
  <c r="I65" s="1"/>
  <c r="J65" s="1"/>
  <c r="G64"/>
  <c r="G51"/>
  <c r="G55"/>
  <c r="G50"/>
  <c r="G63"/>
  <c r="G47"/>
  <c r="G61"/>
  <c r="H80"/>
  <c r="H43"/>
  <c r="I43" s="1"/>
  <c r="J43" s="1"/>
  <c r="K43" s="1"/>
  <c r="N43" s="1"/>
  <c r="G67"/>
  <c r="G69"/>
  <c r="G71"/>
  <c r="G60"/>
  <c r="G72"/>
  <c r="G53"/>
  <c r="G46"/>
  <c r="G70"/>
  <c r="G68"/>
  <c r="G35"/>
  <c r="G17"/>
  <c r="G36"/>
  <c r="G34"/>
  <c r="G33"/>
  <c r="G32"/>
  <c r="G24"/>
  <c r="G31"/>
  <c r="P12"/>
  <c r="R11"/>
  <c r="H7"/>
  <c r="I7" s="1"/>
  <c r="J7" s="1"/>
  <c r="K7" s="1"/>
  <c r="N7" s="1"/>
  <c r="G10"/>
  <c r="G81" l="1"/>
  <c r="H70"/>
  <c r="I70" s="1"/>
  <c r="J70" s="1"/>
  <c r="K70" s="1"/>
  <c r="N70" s="1"/>
  <c r="O70" s="1"/>
  <c r="P70" s="1"/>
  <c r="Q70" s="1"/>
  <c r="R70" s="1"/>
  <c r="S70" s="1"/>
  <c r="T70" s="1"/>
  <c r="U70" s="1"/>
  <c r="G88"/>
  <c r="G95"/>
  <c r="G102"/>
  <c r="I79"/>
  <c r="J79" s="1"/>
  <c r="K79" s="1"/>
  <c r="N79" s="1"/>
  <c r="H106"/>
  <c r="H103"/>
  <c r="H107"/>
  <c r="H108"/>
  <c r="H89"/>
  <c r="H105"/>
  <c r="H82"/>
  <c r="H96"/>
  <c r="H104"/>
  <c r="I80"/>
  <c r="J80" s="1"/>
  <c r="K80" s="1"/>
  <c r="N80" s="1"/>
  <c r="H94"/>
  <c r="H87"/>
  <c r="H101"/>
  <c r="H85"/>
  <c r="H97"/>
  <c r="H86"/>
  <c r="H93"/>
  <c r="H99"/>
  <c r="I99" s="1"/>
  <c r="J99" s="1"/>
  <c r="K99" s="1"/>
  <c r="N99" s="1"/>
  <c r="O99" s="1"/>
  <c r="P99" s="1"/>
  <c r="Q99" s="1"/>
  <c r="R99" s="1"/>
  <c r="S99" s="1"/>
  <c r="T99" s="1"/>
  <c r="U99" s="1"/>
  <c r="H98"/>
  <c r="H100"/>
  <c r="H92"/>
  <c r="H91"/>
  <c r="H84"/>
  <c r="H90"/>
  <c r="H83"/>
  <c r="K65"/>
  <c r="N65" s="1"/>
  <c r="O65" s="1"/>
  <c r="P65" s="1"/>
  <c r="Q65" s="1"/>
  <c r="R65" s="1"/>
  <c r="S65" s="1"/>
  <c r="T65" s="1"/>
  <c r="U65" s="1"/>
  <c r="H50"/>
  <c r="I50" s="1"/>
  <c r="J50" s="1"/>
  <c r="K50" s="1"/>
  <c r="N50" s="1"/>
  <c r="O50" s="1"/>
  <c r="P50" s="1"/>
  <c r="Q50" s="1"/>
  <c r="R50" s="1"/>
  <c r="S50" s="1"/>
  <c r="T50" s="1"/>
  <c r="U50" s="1"/>
  <c r="H58"/>
  <c r="I58" s="1"/>
  <c r="J58" s="1"/>
  <c r="K58" s="1"/>
  <c r="N58" s="1"/>
  <c r="O58" s="1"/>
  <c r="P58" s="1"/>
  <c r="Q58" s="1"/>
  <c r="R58" s="1"/>
  <c r="S58" s="1"/>
  <c r="T58" s="1"/>
  <c r="U58" s="1"/>
  <c r="H32"/>
  <c r="I32" s="1"/>
  <c r="J32" s="1"/>
  <c r="K32" s="1"/>
  <c r="N32" s="1"/>
  <c r="O32" s="1"/>
  <c r="P32" s="1"/>
  <c r="Q32" s="1"/>
  <c r="R32" s="1"/>
  <c r="S32" s="1"/>
  <c r="T32" s="1"/>
  <c r="U32" s="1"/>
  <c r="H63"/>
  <c r="I63" s="1"/>
  <c r="J63" s="1"/>
  <c r="K63" s="1"/>
  <c r="N63" s="1"/>
  <c r="O63" s="1"/>
  <c r="P63" s="1"/>
  <c r="Q63" s="1"/>
  <c r="R63" s="1"/>
  <c r="S63" s="1"/>
  <c r="T63" s="1"/>
  <c r="U63" s="1"/>
  <c r="H62"/>
  <c r="I62" s="1"/>
  <c r="J62" s="1"/>
  <c r="K62" s="1"/>
  <c r="N62" s="1"/>
  <c r="O62" s="1"/>
  <c r="P62" s="1"/>
  <c r="Q62" s="1"/>
  <c r="R62" s="1"/>
  <c r="S62" s="1"/>
  <c r="T62" s="1"/>
  <c r="U62" s="1"/>
  <c r="H33"/>
  <c r="I33" s="1"/>
  <c r="J33" s="1"/>
  <c r="K33" s="1"/>
  <c r="N33" s="1"/>
  <c r="O33" s="1"/>
  <c r="P33" s="1"/>
  <c r="Q33" s="1"/>
  <c r="R33" s="1"/>
  <c r="S33" s="1"/>
  <c r="T33" s="1"/>
  <c r="U33" s="1"/>
  <c r="H36"/>
  <c r="I36" s="1"/>
  <c r="J36" s="1"/>
  <c r="K36" s="1"/>
  <c r="N36" s="1"/>
  <c r="O36" s="1"/>
  <c r="P36" s="1"/>
  <c r="Q36" s="1"/>
  <c r="R36" s="1"/>
  <c r="S36" s="1"/>
  <c r="T36" s="1"/>
  <c r="U36" s="1"/>
  <c r="H34"/>
  <c r="I34" s="1"/>
  <c r="J34" s="1"/>
  <c r="K34" s="1"/>
  <c r="N34" s="1"/>
  <c r="O34" s="1"/>
  <c r="P34" s="1"/>
  <c r="Q34" s="1"/>
  <c r="R34" s="1"/>
  <c r="S34" s="1"/>
  <c r="T34" s="1"/>
  <c r="U34" s="1"/>
  <c r="H72"/>
  <c r="I72" s="1"/>
  <c r="J72" s="1"/>
  <c r="K72" s="1"/>
  <c r="N72" s="1"/>
  <c r="O72" s="1"/>
  <c r="P72" s="1"/>
  <c r="Q72" s="1"/>
  <c r="R72" s="1"/>
  <c r="S72" s="1"/>
  <c r="T72" s="1"/>
  <c r="U72" s="1"/>
  <c r="H17"/>
  <c r="G16"/>
  <c r="H71"/>
  <c r="I71" s="1"/>
  <c r="J71" s="1"/>
  <c r="K71" s="1"/>
  <c r="N71" s="1"/>
  <c r="O71" s="1"/>
  <c r="P71" s="1"/>
  <c r="Q71" s="1"/>
  <c r="R71" s="1"/>
  <c r="S71" s="1"/>
  <c r="T71" s="1"/>
  <c r="U71" s="1"/>
  <c r="H55"/>
  <c r="I55" s="1"/>
  <c r="J55" s="1"/>
  <c r="K55" s="1"/>
  <c r="N55" s="1"/>
  <c r="O55" s="1"/>
  <c r="P55" s="1"/>
  <c r="Q55" s="1"/>
  <c r="R55" s="1"/>
  <c r="S55" s="1"/>
  <c r="T55" s="1"/>
  <c r="U55" s="1"/>
  <c r="H57"/>
  <c r="I57" s="1"/>
  <c r="J57" s="1"/>
  <c r="K57" s="1"/>
  <c r="N57" s="1"/>
  <c r="O57" s="1"/>
  <c r="P57" s="1"/>
  <c r="Q57" s="1"/>
  <c r="R57" s="1"/>
  <c r="S57" s="1"/>
  <c r="T57" s="1"/>
  <c r="U57" s="1"/>
  <c r="H60"/>
  <c r="G59"/>
  <c r="H53"/>
  <c r="G52"/>
  <c r="H47"/>
  <c r="I47" s="1"/>
  <c r="J47" s="1"/>
  <c r="K47" s="1"/>
  <c r="N47" s="1"/>
  <c r="O47" s="1"/>
  <c r="P47" s="1"/>
  <c r="H49"/>
  <c r="I49" s="1"/>
  <c r="J49" s="1"/>
  <c r="K49" s="1"/>
  <c r="N49" s="1"/>
  <c r="O49" s="1"/>
  <c r="P49" s="1"/>
  <c r="Q49" s="1"/>
  <c r="R49" s="1"/>
  <c r="S49" s="1"/>
  <c r="T49" s="1"/>
  <c r="U49" s="1"/>
  <c r="H46"/>
  <c r="G45"/>
  <c r="H61"/>
  <c r="I61" s="1"/>
  <c r="J61" s="1"/>
  <c r="K61" s="1"/>
  <c r="N61" s="1"/>
  <c r="O61" s="1"/>
  <c r="P61" s="1"/>
  <c r="Q61" s="1"/>
  <c r="R61" s="1"/>
  <c r="S61" s="1"/>
  <c r="T61" s="1"/>
  <c r="U61" s="1"/>
  <c r="H48"/>
  <c r="I48" s="1"/>
  <c r="J48" s="1"/>
  <c r="K48" s="1"/>
  <c r="N48" s="1"/>
  <c r="O48" s="1"/>
  <c r="P48" s="1"/>
  <c r="Q48" s="1"/>
  <c r="R48" s="1"/>
  <c r="S48" s="1"/>
  <c r="T48" s="1"/>
  <c r="U48" s="1"/>
  <c r="G23"/>
  <c r="H24"/>
  <c r="G30"/>
  <c r="H31"/>
  <c r="H67"/>
  <c r="G66"/>
  <c r="H68"/>
  <c r="I68" s="1"/>
  <c r="J68" s="1"/>
  <c r="K68" s="1"/>
  <c r="N68" s="1"/>
  <c r="O68" s="1"/>
  <c r="P68" s="1"/>
  <c r="Q68" s="1"/>
  <c r="R68" s="1"/>
  <c r="S68" s="1"/>
  <c r="T68" s="1"/>
  <c r="U68" s="1"/>
  <c r="H64"/>
  <c r="I64" s="1"/>
  <c r="J64" s="1"/>
  <c r="K64" s="1"/>
  <c r="N64" s="1"/>
  <c r="O64" s="1"/>
  <c r="P64" s="1"/>
  <c r="Q64" s="1"/>
  <c r="R64" s="1"/>
  <c r="S64" s="1"/>
  <c r="T64" s="1"/>
  <c r="U64" s="1"/>
  <c r="H56"/>
  <c r="I56" s="1"/>
  <c r="J56" s="1"/>
  <c r="K56" s="1"/>
  <c r="N56" s="1"/>
  <c r="O56" s="1"/>
  <c r="P56" s="1"/>
  <c r="Q56" s="1"/>
  <c r="R56" s="1"/>
  <c r="S56" s="1"/>
  <c r="T56" s="1"/>
  <c r="U56" s="1"/>
  <c r="H35"/>
  <c r="I35" s="1"/>
  <c r="J35" s="1"/>
  <c r="K35" s="1"/>
  <c r="N35" s="1"/>
  <c r="O35" s="1"/>
  <c r="P35" s="1"/>
  <c r="Q35" s="1"/>
  <c r="R35" s="1"/>
  <c r="S35" s="1"/>
  <c r="T35" s="1"/>
  <c r="U35" s="1"/>
  <c r="H69"/>
  <c r="I69" s="1"/>
  <c r="J69" s="1"/>
  <c r="K69" s="1"/>
  <c r="N69" s="1"/>
  <c r="O69" s="1"/>
  <c r="P69" s="1"/>
  <c r="Q69" s="1"/>
  <c r="R69" s="1"/>
  <c r="S69" s="1"/>
  <c r="T69" s="1"/>
  <c r="U69" s="1"/>
  <c r="H51"/>
  <c r="I51" s="1"/>
  <c r="J51" s="1"/>
  <c r="K51" s="1"/>
  <c r="N51" s="1"/>
  <c r="O51" s="1"/>
  <c r="P51" s="1"/>
  <c r="Q51" s="1"/>
  <c r="R51" s="1"/>
  <c r="S51" s="1"/>
  <c r="T51" s="1"/>
  <c r="U51" s="1"/>
  <c r="H54"/>
  <c r="I54" s="1"/>
  <c r="J54" s="1"/>
  <c r="K54" s="1"/>
  <c r="N54" s="1"/>
  <c r="O54" s="1"/>
  <c r="P54" s="1"/>
  <c r="Q54" s="1"/>
  <c r="R54" s="1"/>
  <c r="S54" s="1"/>
  <c r="T54" s="1"/>
  <c r="U54" s="1"/>
  <c r="H10"/>
  <c r="G9"/>
  <c r="Q12"/>
  <c r="S11"/>
  <c r="I83" l="1"/>
  <c r="J83" s="1"/>
  <c r="K83" s="1"/>
  <c r="N83" s="1"/>
  <c r="O83" s="1"/>
  <c r="P83" s="1"/>
  <c r="Q83" s="1"/>
  <c r="I93"/>
  <c r="J93" s="1"/>
  <c r="K93" s="1"/>
  <c r="N93" s="1"/>
  <c r="O93" s="1"/>
  <c r="P93" s="1"/>
  <c r="Q93" s="1"/>
  <c r="R93" s="1"/>
  <c r="S93" s="1"/>
  <c r="T93" s="1"/>
  <c r="U93" s="1"/>
  <c r="I104"/>
  <c r="J104" s="1"/>
  <c r="K104" s="1"/>
  <c r="N104" s="1"/>
  <c r="O104" s="1"/>
  <c r="P104" s="1"/>
  <c r="Q104" s="1"/>
  <c r="R104" s="1"/>
  <c r="S104" s="1"/>
  <c r="T104" s="1"/>
  <c r="U104" s="1"/>
  <c r="I106"/>
  <c r="J106" s="1"/>
  <c r="K106" s="1"/>
  <c r="N106" s="1"/>
  <c r="O106" s="1"/>
  <c r="P106" s="1"/>
  <c r="Q106" s="1"/>
  <c r="R106" s="1"/>
  <c r="S106" s="1"/>
  <c r="T106" s="1"/>
  <c r="U106" s="1"/>
  <c r="I90"/>
  <c r="J90" s="1"/>
  <c r="K90" s="1"/>
  <c r="N90" s="1"/>
  <c r="O90" s="1"/>
  <c r="P90" s="1"/>
  <c r="Q90" s="1"/>
  <c r="R90" s="1"/>
  <c r="S90" s="1"/>
  <c r="T90" s="1"/>
  <c r="U90" s="1"/>
  <c r="I86"/>
  <c r="J86" s="1"/>
  <c r="K86" s="1"/>
  <c r="N86" s="1"/>
  <c r="O86" s="1"/>
  <c r="P86" s="1"/>
  <c r="Q86" s="1"/>
  <c r="R86" s="1"/>
  <c r="S86" s="1"/>
  <c r="T86" s="1"/>
  <c r="U86" s="1"/>
  <c r="I96"/>
  <c r="H95"/>
  <c r="I103"/>
  <c r="H102"/>
  <c r="I98"/>
  <c r="J98" s="1"/>
  <c r="K98" s="1"/>
  <c r="N98" s="1"/>
  <c r="O98" s="1"/>
  <c r="P98" s="1"/>
  <c r="Q98" s="1"/>
  <c r="R98" s="1"/>
  <c r="S98" s="1"/>
  <c r="T98" s="1"/>
  <c r="U98" s="1"/>
  <c r="I94"/>
  <c r="J94" s="1"/>
  <c r="K94" s="1"/>
  <c r="N94" s="1"/>
  <c r="O94" s="1"/>
  <c r="P94" s="1"/>
  <c r="Q94" s="1"/>
  <c r="R94" s="1"/>
  <c r="S94" s="1"/>
  <c r="T94" s="1"/>
  <c r="U94" s="1"/>
  <c r="I107"/>
  <c r="J107" s="1"/>
  <c r="K107" s="1"/>
  <c r="N107" s="1"/>
  <c r="O107" s="1"/>
  <c r="P107" s="1"/>
  <c r="Q107" s="1"/>
  <c r="R107" s="1"/>
  <c r="S107" s="1"/>
  <c r="T107" s="1"/>
  <c r="U107" s="1"/>
  <c r="I100"/>
  <c r="J100" s="1"/>
  <c r="K100" s="1"/>
  <c r="N100" s="1"/>
  <c r="O100" s="1"/>
  <c r="P100" s="1"/>
  <c r="Q100" s="1"/>
  <c r="R100" s="1"/>
  <c r="S100" s="1"/>
  <c r="T100" s="1"/>
  <c r="U100" s="1"/>
  <c r="I87"/>
  <c r="J87" s="1"/>
  <c r="K87" s="1"/>
  <c r="N87" s="1"/>
  <c r="O87" s="1"/>
  <c r="P87" s="1"/>
  <c r="Q87" s="1"/>
  <c r="R87" s="1"/>
  <c r="S87" s="1"/>
  <c r="T87" s="1"/>
  <c r="U87" s="1"/>
  <c r="I108"/>
  <c r="J108" s="1"/>
  <c r="K108" s="1"/>
  <c r="N108" s="1"/>
  <c r="O108" s="1"/>
  <c r="P108" s="1"/>
  <c r="Q108" s="1"/>
  <c r="R108" s="1"/>
  <c r="S108" s="1"/>
  <c r="T108" s="1"/>
  <c r="U108" s="1"/>
  <c r="I89"/>
  <c r="H88"/>
  <c r="I92"/>
  <c r="J92" s="1"/>
  <c r="K92" s="1"/>
  <c r="N92" s="1"/>
  <c r="O92" s="1"/>
  <c r="P92" s="1"/>
  <c r="Q92" s="1"/>
  <c r="R92" s="1"/>
  <c r="S92" s="1"/>
  <c r="T92" s="1"/>
  <c r="U92" s="1"/>
  <c r="I101"/>
  <c r="J101" s="1"/>
  <c r="K101" s="1"/>
  <c r="N101" s="1"/>
  <c r="O101" s="1"/>
  <c r="P101" s="1"/>
  <c r="Q101" s="1"/>
  <c r="R101" s="1"/>
  <c r="S101" s="1"/>
  <c r="T101" s="1"/>
  <c r="U101" s="1"/>
  <c r="I91"/>
  <c r="J91" s="1"/>
  <c r="K91" s="1"/>
  <c r="N91" s="1"/>
  <c r="O91" s="1"/>
  <c r="P91" s="1"/>
  <c r="Q91" s="1"/>
  <c r="R91" s="1"/>
  <c r="S91" s="1"/>
  <c r="T91" s="1"/>
  <c r="U91" s="1"/>
  <c r="I85"/>
  <c r="J85" s="1"/>
  <c r="K85" s="1"/>
  <c r="N85" s="1"/>
  <c r="O85" s="1"/>
  <c r="P85" s="1"/>
  <c r="Q85" s="1"/>
  <c r="R85" s="1"/>
  <c r="S85" s="1"/>
  <c r="T85" s="1"/>
  <c r="U85" s="1"/>
  <c r="I105"/>
  <c r="J105" s="1"/>
  <c r="K105" s="1"/>
  <c r="N105" s="1"/>
  <c r="O105" s="1"/>
  <c r="P105" s="1"/>
  <c r="Q105" s="1"/>
  <c r="R105" s="1"/>
  <c r="S105" s="1"/>
  <c r="T105" s="1"/>
  <c r="U105" s="1"/>
  <c r="I82"/>
  <c r="H81"/>
  <c r="I84"/>
  <c r="J84" s="1"/>
  <c r="K84" s="1"/>
  <c r="N84" s="1"/>
  <c r="O84" s="1"/>
  <c r="P84" s="1"/>
  <c r="Q84" s="1"/>
  <c r="R84" s="1"/>
  <c r="S84" s="1"/>
  <c r="T84" s="1"/>
  <c r="U84" s="1"/>
  <c r="I97"/>
  <c r="J97" s="1"/>
  <c r="K97" s="1"/>
  <c r="N97" s="1"/>
  <c r="O97" s="1"/>
  <c r="P97" s="1"/>
  <c r="Q97" s="1"/>
  <c r="R97" s="1"/>
  <c r="S97" s="1"/>
  <c r="T97" s="1"/>
  <c r="U97" s="1"/>
  <c r="R83"/>
  <c r="H30"/>
  <c r="I31"/>
  <c r="I67"/>
  <c r="H66"/>
  <c r="I46"/>
  <c r="H45"/>
  <c r="I24"/>
  <c r="H23"/>
  <c r="I17"/>
  <c r="H16"/>
  <c r="I53"/>
  <c r="H52"/>
  <c r="I60"/>
  <c r="H59"/>
  <c r="Q47"/>
  <c r="I10"/>
  <c r="H9"/>
  <c r="R12"/>
  <c r="T11"/>
  <c r="J96" l="1"/>
  <c r="I95"/>
  <c r="J82"/>
  <c r="I81"/>
  <c r="J89"/>
  <c r="I88"/>
  <c r="J103"/>
  <c r="I102"/>
  <c r="S83"/>
  <c r="I23"/>
  <c r="J24"/>
  <c r="J17"/>
  <c r="I16"/>
  <c r="J31"/>
  <c r="I30"/>
  <c r="J53"/>
  <c r="I52"/>
  <c r="J67"/>
  <c r="I66"/>
  <c r="J60"/>
  <c r="I59"/>
  <c r="J46"/>
  <c r="I45"/>
  <c r="R47"/>
  <c r="J10"/>
  <c r="I9"/>
  <c r="S12"/>
  <c r="U11"/>
  <c r="K82" l="1"/>
  <c r="J81"/>
  <c r="K96"/>
  <c r="J95"/>
  <c r="K89"/>
  <c r="J88"/>
  <c r="K103"/>
  <c r="J102"/>
  <c r="T83"/>
  <c r="K67"/>
  <c r="J66"/>
  <c r="J23"/>
  <c r="K24"/>
  <c r="K60"/>
  <c r="J59"/>
  <c r="K17"/>
  <c r="J16"/>
  <c r="K46"/>
  <c r="J45"/>
  <c r="J30"/>
  <c r="K31"/>
  <c r="K53"/>
  <c r="J52"/>
  <c r="S47"/>
  <c r="K10"/>
  <c r="J9"/>
  <c r="T12"/>
  <c r="N82" l="1"/>
  <c r="K81"/>
  <c r="N96"/>
  <c r="K95"/>
  <c r="N89"/>
  <c r="K88"/>
  <c r="N103"/>
  <c r="K102"/>
  <c r="U83"/>
  <c r="N17"/>
  <c r="K16"/>
  <c r="N46"/>
  <c r="K45"/>
  <c r="N67"/>
  <c r="K66"/>
  <c r="N31"/>
  <c r="K30"/>
  <c r="N24"/>
  <c r="K23"/>
  <c r="N53"/>
  <c r="K52"/>
  <c r="N60"/>
  <c r="K59"/>
  <c r="T47"/>
  <c r="N10"/>
  <c r="K9"/>
  <c r="U12"/>
  <c r="O82" l="1"/>
  <c r="N81"/>
  <c r="O96"/>
  <c r="N95"/>
  <c r="O89"/>
  <c r="N88"/>
  <c r="O103"/>
  <c r="N102"/>
  <c r="O31"/>
  <c r="N30"/>
  <c r="O24"/>
  <c r="N23"/>
  <c r="O17"/>
  <c r="N16"/>
  <c r="O53"/>
  <c r="N52"/>
  <c r="O46"/>
  <c r="N45"/>
  <c r="O60"/>
  <c r="N59"/>
  <c r="O67"/>
  <c r="N66"/>
  <c r="U47"/>
  <c r="O10"/>
  <c r="N9"/>
  <c r="P82" l="1"/>
  <c r="O81"/>
  <c r="P96"/>
  <c r="O95"/>
  <c r="P89"/>
  <c r="O88"/>
  <c r="P103"/>
  <c r="O102"/>
  <c r="P53"/>
  <c r="O52"/>
  <c r="P46"/>
  <c r="O45"/>
  <c r="O30"/>
  <c r="P31"/>
  <c r="P60"/>
  <c r="O59"/>
  <c r="O23"/>
  <c r="P24"/>
  <c r="P67"/>
  <c r="O66"/>
  <c r="P17"/>
  <c r="O16"/>
  <c r="P10"/>
  <c r="O9"/>
  <c r="N5" i="3"/>
  <c r="N30" s="1"/>
  <c r="K211"/>
  <c r="K227"/>
  <c r="K243"/>
  <c r="K259"/>
  <c r="K275"/>
  <c r="K276"/>
  <c r="N49" l="1"/>
  <c r="Q82" i="15"/>
  <c r="P81"/>
  <c r="Q96"/>
  <c r="P95"/>
  <c r="Q89"/>
  <c r="P88"/>
  <c r="Q103"/>
  <c r="P102"/>
  <c r="Q17"/>
  <c r="P16"/>
  <c r="Q53"/>
  <c r="P52"/>
  <c r="P23"/>
  <c r="Q24"/>
  <c r="Q46"/>
  <c r="P45"/>
  <c r="Q67"/>
  <c r="P66"/>
  <c r="P30"/>
  <c r="Q31"/>
  <c r="Q60"/>
  <c r="P59"/>
  <c r="Q10"/>
  <c r="P9"/>
  <c r="K260" i="3"/>
  <c r="K228"/>
  <c r="K212"/>
  <c r="K244"/>
  <c r="K196"/>
  <c r="N58" l="1"/>
  <c r="N63"/>
  <c r="R82" i="15"/>
  <c r="Q81"/>
  <c r="R96"/>
  <c r="Q95"/>
  <c r="R103"/>
  <c r="Q102"/>
  <c r="R89"/>
  <c r="Q88"/>
  <c r="R53"/>
  <c r="Q52"/>
  <c r="R67"/>
  <c r="Q66"/>
  <c r="R17"/>
  <c r="Q16"/>
  <c r="R60"/>
  <c r="Q59"/>
  <c r="Q30"/>
  <c r="R31"/>
  <c r="Q23"/>
  <c r="R24"/>
  <c r="R46"/>
  <c r="Q45"/>
  <c r="R10"/>
  <c r="Q9"/>
  <c r="S82" l="1"/>
  <c r="R81"/>
  <c r="S89"/>
  <c r="R88"/>
  <c r="S96"/>
  <c r="R95"/>
  <c r="S103"/>
  <c r="R102"/>
  <c r="S53"/>
  <c r="R52"/>
  <c r="S17"/>
  <c r="R16"/>
  <c r="R30"/>
  <c r="S31"/>
  <c r="S67"/>
  <c r="R66"/>
  <c r="R23"/>
  <c r="S24"/>
  <c r="S46"/>
  <c r="R45"/>
  <c r="S60"/>
  <c r="R59"/>
  <c r="S10"/>
  <c r="R9"/>
  <c r="T82" l="1"/>
  <c r="S81"/>
  <c r="T103"/>
  <c r="S102"/>
  <c r="T89"/>
  <c r="S88"/>
  <c r="T96"/>
  <c r="S95"/>
  <c r="T46"/>
  <c r="S45"/>
  <c r="S30"/>
  <c r="T31"/>
  <c r="S23"/>
  <c r="T24"/>
  <c r="T67"/>
  <c r="S66"/>
  <c r="T53"/>
  <c r="S52"/>
  <c r="T17"/>
  <c r="S16"/>
  <c r="T60"/>
  <c r="S59"/>
  <c r="T10"/>
  <c r="S9"/>
  <c r="U96" l="1"/>
  <c r="U95" s="1"/>
  <c r="T95"/>
  <c r="U82"/>
  <c r="U81" s="1"/>
  <c r="T81"/>
  <c r="U103"/>
  <c r="U102" s="1"/>
  <c r="T102"/>
  <c r="U89"/>
  <c r="U88" s="1"/>
  <c r="T88"/>
  <c r="U46"/>
  <c r="U45" s="1"/>
  <c r="T45"/>
  <c r="U53"/>
  <c r="U52" s="1"/>
  <c r="T52"/>
  <c r="U60"/>
  <c r="U59" s="1"/>
  <c r="T59"/>
  <c r="T23"/>
  <c r="U24"/>
  <c r="U23" s="1"/>
  <c r="U17"/>
  <c r="U16" s="1"/>
  <c r="T16"/>
  <c r="U67"/>
  <c r="U66" s="1"/>
  <c r="T66"/>
  <c r="T30"/>
  <c r="U31"/>
  <c r="U30" s="1"/>
  <c r="U10"/>
  <c r="U9" s="1"/>
  <c r="T9"/>
  <c r="K206" i="3" l="1"/>
  <c r="K208"/>
  <c r="K201" l="1"/>
  <c r="K205"/>
  <c r="K210"/>
  <c r="K207"/>
  <c r="K222"/>
  <c r="K224"/>
  <c r="K240" l="1"/>
  <c r="K204"/>
  <c r="K198"/>
  <c r="K202"/>
  <c r="K221"/>
  <c r="K209"/>
  <c r="K197"/>
  <c r="K203"/>
  <c r="K226"/>
  <c r="K199"/>
  <c r="K238"/>
  <c r="K223"/>
  <c r="K200"/>
  <c r="K217"/>
  <c r="K225" l="1"/>
  <c r="K215"/>
  <c r="K242"/>
  <c r="K214"/>
  <c r="K220"/>
  <c r="K239"/>
  <c r="K237"/>
  <c r="K254"/>
  <c r="K218"/>
  <c r="K219"/>
  <c r="K233"/>
  <c r="K213"/>
  <c r="K216"/>
  <c r="K256"/>
  <c r="K241" l="1"/>
  <c r="K255"/>
  <c r="K235"/>
  <c r="K258"/>
  <c r="K231"/>
  <c r="K229"/>
  <c r="K230"/>
  <c r="K249"/>
  <c r="K236"/>
  <c r="K234"/>
  <c r="K288"/>
  <c r="K272"/>
  <c r="K270"/>
  <c r="K286"/>
  <c r="K232"/>
  <c r="K253"/>
  <c r="K245" l="1"/>
  <c r="K290"/>
  <c r="K274"/>
  <c r="K252"/>
  <c r="K247"/>
  <c r="K250"/>
  <c r="K251"/>
  <c r="K287"/>
  <c r="K271"/>
  <c r="K269"/>
  <c r="K285"/>
  <c r="K265"/>
  <c r="K281"/>
  <c r="K248"/>
  <c r="K246"/>
  <c r="K257"/>
  <c r="AA4" l="1"/>
  <c r="V4"/>
  <c r="AE4"/>
  <c r="K289"/>
  <c r="K273"/>
  <c r="K280"/>
  <c r="K264"/>
  <c r="K283"/>
  <c r="K267"/>
  <c r="K278"/>
  <c r="K262"/>
  <c r="K266"/>
  <c r="K282"/>
  <c r="K263"/>
  <c r="K279"/>
  <c r="K277"/>
  <c r="K261"/>
  <c r="K268"/>
  <c r="K284"/>
  <c r="AB4" l="1"/>
  <c r="Z4"/>
  <c r="Y4"/>
  <c r="X4"/>
  <c r="AC4"/>
  <c r="AB48" s="1"/>
  <c r="W4"/>
  <c r="U4"/>
  <c r="AD4"/>
  <c r="AF4"/>
  <c r="X5"/>
  <c r="AD5"/>
  <c r="AD30" s="1"/>
  <c r="T5"/>
  <c r="T30" s="1"/>
  <c r="O5"/>
  <c r="O30" s="1"/>
  <c r="P5"/>
  <c r="R5"/>
  <c r="Q5"/>
  <c r="S5"/>
  <c r="Z5"/>
  <c r="AA5"/>
  <c r="Z49" s="1"/>
  <c r="U5"/>
  <c r="Y5"/>
  <c r="AC5"/>
  <c r="AC30" s="1"/>
  <c r="AB5"/>
  <c r="V5"/>
  <c r="V30" s="1"/>
  <c r="W5"/>
  <c r="W30" s="1"/>
  <c r="AE5"/>
  <c r="AE30" s="1"/>
  <c r="AF5"/>
  <c r="P49" l="1"/>
  <c r="AB30"/>
  <c r="AA49"/>
  <c r="R30"/>
  <c r="Q49"/>
  <c r="P30"/>
  <c r="O49"/>
  <c r="X30"/>
  <c r="W49"/>
  <c r="AF40" i="27"/>
  <c r="AE39"/>
  <c r="P50" i="3"/>
  <c r="Q30"/>
  <c r="T48"/>
  <c r="S57"/>
  <c r="R58"/>
  <c r="AF30"/>
  <c r="X49"/>
  <c r="Y30"/>
  <c r="T49"/>
  <c r="S58"/>
  <c r="S59" s="1"/>
  <c r="U30"/>
  <c r="AA30"/>
  <c r="Q58"/>
  <c r="T58"/>
  <c r="Z30"/>
  <c r="Q57"/>
  <c r="T57"/>
  <c r="R49"/>
  <c r="R50" s="1"/>
  <c r="S30"/>
  <c r="R57"/>
  <c r="V48"/>
  <c r="V50" s="1"/>
  <c r="V49"/>
  <c r="W48"/>
  <c r="W50" s="1"/>
  <c r="O62"/>
  <c r="P57"/>
  <c r="O57"/>
  <c r="AA48"/>
  <c r="Q62"/>
  <c r="P58"/>
  <c r="O58"/>
  <c r="O63"/>
  <c r="U49"/>
  <c r="Q63"/>
  <c r="AB49"/>
  <c r="AB50" s="1"/>
  <c r="AC48"/>
  <c r="Y49"/>
  <c r="AC49"/>
  <c r="X48"/>
  <c r="X50" s="1"/>
  <c r="AD49"/>
  <c r="S49"/>
  <c r="S50" s="1"/>
  <c r="AE49"/>
  <c r="Y48"/>
  <c r="AE48"/>
  <c r="Z48"/>
  <c r="Z50" s="1"/>
  <c r="Q50"/>
  <c r="U48"/>
  <c r="O50"/>
  <c r="AD48"/>
  <c r="U50" l="1"/>
  <c r="T50"/>
  <c r="T59"/>
  <c r="Q59"/>
  <c r="F14" i="19"/>
  <c r="G14" s="1"/>
  <c r="F13"/>
  <c r="G13" s="1"/>
  <c r="O59" i="3"/>
  <c r="AA50"/>
  <c r="P59"/>
  <c r="O64"/>
  <c r="AC50"/>
  <c r="R59"/>
  <c r="Q64"/>
  <c r="Y50"/>
  <c r="AE50"/>
  <c r="AD50"/>
  <c r="H14" i="19" l="1"/>
  <c r="I14" s="1"/>
  <c r="J14" s="1"/>
  <c r="K14" s="1"/>
  <c r="L14" s="1"/>
  <c r="M14" s="1"/>
  <c r="E20" s="1"/>
  <c r="F20" s="1"/>
  <c r="G20" s="1"/>
  <c r="H20" s="1"/>
  <c r="I20" s="1"/>
  <c r="J20" s="1"/>
  <c r="K20" s="1"/>
  <c r="F39"/>
  <c r="H13"/>
  <c r="I13" s="1"/>
  <c r="J13" s="1"/>
  <c r="K13" s="1"/>
  <c r="L13" s="1"/>
  <c r="M13" s="1"/>
  <c r="E19" s="1"/>
  <c r="F19" s="1"/>
  <c r="G19" s="1"/>
  <c r="H19" s="1"/>
  <c r="I19" s="1"/>
  <c r="J19" s="1"/>
  <c r="K19" s="1"/>
  <c r="F38"/>
  <c r="L49" i="22"/>
  <c r="L51"/>
  <c r="L20" i="19" l="1"/>
  <c r="E26" s="1"/>
  <c r="L19"/>
  <c r="E25" s="1"/>
  <c r="L56" i="22"/>
  <c r="L50" i="21"/>
  <c r="F26" i="19" l="1"/>
  <c r="G26" s="1"/>
  <c r="H26" s="1"/>
  <c r="I26" s="1"/>
  <c r="J26" s="1"/>
  <c r="K26" s="1"/>
  <c r="L26" s="1"/>
  <c r="E32" s="1"/>
  <c r="F32" s="1"/>
  <c r="G32" s="1"/>
  <c r="H32" s="1"/>
  <c r="I32" s="1"/>
  <c r="J32" s="1"/>
  <c r="K32" s="1"/>
  <c r="L32" s="1"/>
  <c r="H39" s="1"/>
  <c r="G39"/>
  <c r="F25"/>
  <c r="G25" s="1"/>
  <c r="H25" s="1"/>
  <c r="I25" s="1"/>
  <c r="J25" s="1"/>
  <c r="K25" s="1"/>
  <c r="L25" s="1"/>
  <c r="E31" s="1"/>
  <c r="F31" s="1"/>
  <c r="G31" s="1"/>
  <c r="H31" s="1"/>
  <c r="I31" s="1"/>
  <c r="J31" s="1"/>
  <c r="K31" s="1"/>
  <c r="L31" s="1"/>
  <c r="H38" s="1"/>
  <c r="G38"/>
  <c r="L57" i="21"/>
  <c r="M55" s="1"/>
  <c r="M51" i="22"/>
  <c r="M54"/>
  <c r="M49"/>
  <c r="M53"/>
  <c r="M48"/>
  <c r="M52"/>
  <c r="M50"/>
  <c r="M52" i="21" l="1"/>
  <c r="M54"/>
  <c r="M50"/>
  <c r="M49"/>
  <c r="M53"/>
  <c r="M51"/>
  <c r="M56" i="22"/>
  <c r="D48" i="21"/>
  <c r="E46" s="1"/>
  <c r="M57" l="1"/>
  <c r="E44"/>
  <c r="E47"/>
  <c r="E48"/>
  <c r="E45"/>
  <c r="O14" i="27" l="1"/>
  <c r="Z38" i="21" l="1"/>
  <c r="S38"/>
  <c r="L38"/>
  <c r="E38" l="1"/>
  <c r="L49" i="20"/>
  <c r="L51"/>
  <c r="D44"/>
  <c r="D48" s="1"/>
  <c r="L57" l="1"/>
  <c r="M53" s="1"/>
  <c r="E46"/>
  <c r="E48"/>
  <c r="E45"/>
  <c r="E47"/>
  <c r="E44"/>
  <c r="M49" l="1"/>
  <c r="M51"/>
  <c r="M50"/>
  <c r="M54"/>
  <c r="M52"/>
  <c r="M55"/>
  <c r="M57" l="1"/>
</calcChain>
</file>

<file path=xl/sharedStrings.xml><?xml version="1.0" encoding="utf-8"?>
<sst xmlns="http://schemas.openxmlformats.org/spreadsheetml/2006/main" count="1750" uniqueCount="322">
  <si>
    <t>Número</t>
  </si>
  <si>
    <t>Distrito</t>
  </si>
  <si>
    <t>Límites del Tramo</t>
  </si>
  <si>
    <t>TMDA</t>
  </si>
  <si>
    <t>Detalle</t>
  </si>
  <si>
    <t>Observaciones</t>
  </si>
  <si>
    <t>ver</t>
  </si>
  <si>
    <t>Permanente</t>
  </si>
  <si>
    <t>Cobertura</t>
  </si>
  <si>
    <t>Tramos Ruta: 0012</t>
  </si>
  <si>
    <t>Entre Rios</t>
  </si>
  <si>
    <t>PEAJE YERUA</t>
  </si>
  <si>
    <t>PEAJE COLONIA ELIA</t>
  </si>
  <si>
    <t>PEAJE PIEDRITAS</t>
  </si>
  <si>
    <t>TMDA HISTORICO - Estaciones permanentes</t>
  </si>
  <si>
    <t>Tramo</t>
  </si>
  <si>
    <t>PEAJE ZARATE</t>
  </si>
  <si>
    <t>RN12_1</t>
  </si>
  <si>
    <t>RN12_2</t>
  </si>
  <si>
    <t>Año</t>
  </si>
  <si>
    <t>Tasa de crecimiento</t>
  </si>
  <si>
    <t>Proyección BASE</t>
  </si>
  <si>
    <t>Proyección PESIMISTA</t>
  </si>
  <si>
    <t>Proyección OPTIMISTA</t>
  </si>
  <si>
    <t>PROYECCIONES TRANSITO PAGANTE</t>
  </si>
  <si>
    <t>Base</t>
  </si>
  <si>
    <t>Tasa crec. Livianos</t>
  </si>
  <si>
    <t>Tasa crec. Pesados</t>
  </si>
  <si>
    <t>Categoria 1</t>
  </si>
  <si>
    <t>Categoria 2</t>
  </si>
  <si>
    <t>Categoria 3</t>
  </si>
  <si>
    <t>Categoria 4</t>
  </si>
  <si>
    <t>Categoria 5</t>
  </si>
  <si>
    <t>Categoria 6</t>
  </si>
  <si>
    <t>COMPOSICION</t>
  </si>
  <si>
    <t>Categoría 1</t>
  </si>
  <si>
    <t>Categoría 2</t>
  </si>
  <si>
    <t>Categoría 3</t>
  </si>
  <si>
    <t>Categoría 4</t>
  </si>
  <si>
    <t>Categoría 5</t>
  </si>
  <si>
    <t>Categoría 6</t>
  </si>
  <si>
    <t>Colonia Elía</t>
  </si>
  <si>
    <t>Piedritas</t>
  </si>
  <si>
    <t>Yeruá</t>
  </si>
  <si>
    <t>Zárate (Rn 12)</t>
  </si>
  <si>
    <t>Categoría 7</t>
  </si>
  <si>
    <t>TOTAL</t>
  </si>
  <si>
    <t>INT.R.P.39 (D) - NOGOYA</t>
  </si>
  <si>
    <t>NOGOYA - INT.R.N.131 (I)</t>
  </si>
  <si>
    <t>361.95</t>
  </si>
  <si>
    <t>401.34</t>
  </si>
  <si>
    <t>317.54</t>
  </si>
  <si>
    <t>420.1</t>
  </si>
  <si>
    <t>INT.R.P.39 (D) - ACC.A NOGOYA (I)</t>
  </si>
  <si>
    <t>ACC.A NOGOYA (I) - INT.R.N.131 (I)</t>
  </si>
  <si>
    <t>48 </t>
  </si>
  <si>
    <t>Limites del Tramo</t>
  </si>
  <si>
    <t>PRi</t>
  </si>
  <si>
    <t>PRf</t>
  </si>
  <si>
    <t>Ano</t>
  </si>
  <si>
    <t>Mes</t>
  </si>
  <si>
    <t>Horas</t>
  </si>
  <si>
    <t>LIV</t>
  </si>
  <si>
    <t>BU1</t>
  </si>
  <si>
    <t>BU2</t>
  </si>
  <si>
    <t>SA1</t>
  </si>
  <si>
    <t>SA2</t>
  </si>
  <si>
    <t>CA1</t>
  </si>
  <si>
    <t>CA2</t>
  </si>
  <si>
    <t>CA3</t>
  </si>
  <si>
    <t>SE1</t>
  </si>
  <si>
    <t>SE2</t>
  </si>
  <si>
    <t>SE3</t>
  </si>
  <si>
    <t>SE4</t>
  </si>
  <si>
    <t>TMD</t>
  </si>
  <si>
    <t>348.43</t>
  </si>
  <si>
    <t>401.29</t>
  </si>
  <si>
    <t>Ruta Nacional N°12</t>
  </si>
  <si>
    <t>PROMEDIO</t>
  </si>
  <si>
    <t>Var. tránsito</t>
  </si>
  <si>
    <t>2006-23</t>
  </si>
  <si>
    <t>2011-23</t>
  </si>
  <si>
    <t>Medios</t>
  </si>
  <si>
    <t>Bajos</t>
  </si>
  <si>
    <t>Altos</t>
  </si>
  <si>
    <t>VALORES PROMEDIO</t>
  </si>
  <si>
    <t>2022-2023</t>
  </si>
  <si>
    <t>2018-2019</t>
  </si>
  <si>
    <t>Escenario</t>
  </si>
  <si>
    <t>Años 1 a 8</t>
  </si>
  <si>
    <t>Años 9 a 15</t>
  </si>
  <si>
    <t>Pesimista</t>
  </si>
  <si>
    <t>Optimista</t>
  </si>
  <si>
    <t xml:space="preserve">Tramo </t>
  </si>
  <si>
    <t xml:space="preserve">Categoria 1 (vehiculos hasta 2 ejes) </t>
  </si>
  <si>
    <t>Categoria 2 (buses y camión s/ acop. de 2 ejes)</t>
  </si>
  <si>
    <t>Categoria 3 (buses, camiones y semis de 2 a 4 ejes)</t>
  </si>
  <si>
    <t>Categoria 4 (vehiculos con mas de 4 ejes y hasta 6 ejes)</t>
  </si>
  <si>
    <t>Categoria 5 (vehiculos con mas de 6 ejes)</t>
  </si>
  <si>
    <t>2006-12</t>
  </si>
  <si>
    <t>2012-17</t>
  </si>
  <si>
    <t>Ruta</t>
  </si>
  <si>
    <t>Nro</t>
  </si>
  <si>
    <t>Años</t>
  </si>
  <si>
    <t xml:space="preserve">Tasa </t>
  </si>
  <si>
    <t>RN 12</t>
  </si>
  <si>
    <t>2010-17</t>
  </si>
  <si>
    <t>2017-23</t>
  </si>
  <si>
    <t>% pesados</t>
  </si>
  <si>
    <t>Otros</t>
  </si>
  <si>
    <t>Semi-remolques</t>
  </si>
  <si>
    <t>Camiones c/ acoplado</t>
  </si>
  <si>
    <t>Camiones s/ acoplado</t>
  </si>
  <si>
    <t>Colectivos</t>
  </si>
  <si>
    <t>Livianos (autos y camionetas)</t>
  </si>
  <si>
    <t>Motos</t>
  </si>
  <si>
    <t>Nogoyá - Crespo</t>
  </si>
  <si>
    <t>Crespo - Nogoyá</t>
  </si>
  <si>
    <t>Sentido de circulación</t>
  </si>
  <si>
    <t>Tipo de Vehículo</t>
  </si>
  <si>
    <t>hs</t>
  </si>
  <si>
    <t>Hora fin</t>
  </si>
  <si>
    <t>Hora inicio</t>
  </si>
  <si>
    <t>Fecha</t>
  </si>
  <si>
    <t>1 (RN12 Oeste)</t>
  </si>
  <si>
    <t>PUESTO</t>
  </si>
  <si>
    <t>Portillo</t>
  </si>
  <si>
    <t>CENSISTA</t>
  </si>
  <si>
    <t>Nogoyá</t>
  </si>
  <si>
    <t>Ubicación</t>
  </si>
  <si>
    <t>CENSO VOLUMÉTRICO DE COMPOSICIÓN</t>
  </si>
  <si>
    <t>Victoria - Nogoyá</t>
  </si>
  <si>
    <t>Nogoyá - Victoria</t>
  </si>
  <si>
    <t>Martinez</t>
  </si>
  <si>
    <t>Tala - Nogoyá</t>
  </si>
  <si>
    <t>Nogoyá - Tala</t>
  </si>
  <si>
    <t>Godoy</t>
  </si>
  <si>
    <t>Diciembre</t>
  </si>
  <si>
    <t>Noviembre</t>
  </si>
  <si>
    <t>Octubre</t>
  </si>
  <si>
    <t>Septiembre</t>
  </si>
  <si>
    <t>Agosto</t>
  </si>
  <si>
    <t>Julio</t>
  </si>
  <si>
    <t>Domingo</t>
  </si>
  <si>
    <t>Junio</t>
  </si>
  <si>
    <t>Sabado</t>
  </si>
  <si>
    <t>Mayo</t>
  </si>
  <si>
    <t>Viernes</t>
  </si>
  <si>
    <t>Abril</t>
  </si>
  <si>
    <t>Jueves</t>
  </si>
  <si>
    <t>Marzo</t>
  </si>
  <si>
    <t>Miercoles</t>
  </si>
  <si>
    <t>Febrero</t>
  </si>
  <si>
    <t>Martes</t>
  </si>
  <si>
    <t>Enero</t>
  </si>
  <si>
    <t>Lunes</t>
  </si>
  <si>
    <t>Factor Mensual</t>
  </si>
  <si>
    <t>Día</t>
  </si>
  <si>
    <t>Hora</t>
  </si>
  <si>
    <t>RDía: viernes Tipo de Día: Todos
Ruta: 0012 Año: 2023 Mes: 9
Tramo: 1170070 Prog. Inicio:  km: 348.43 Prog. Fin:  km: 401.29 Descripcion:  ACC.A NOGOYA (I) - INT.R.N.131 (I) Distrito:  DTO: 17</t>
  </si>
  <si>
    <t>Nogoyá P3 - RN12 Este</t>
  </si>
  <si>
    <t>Nogoyá P2 - RP 26 Sur</t>
  </si>
  <si>
    <t>Nogoyá P1 - RN12 Oeste</t>
  </si>
  <si>
    <t>AÑO</t>
  </si>
  <si>
    <t>ORIGEN</t>
  </si>
  <si>
    <t>Volumen censado</t>
  </si>
  <si>
    <t>Hora final</t>
  </si>
  <si>
    <t>Ubicación Puesto</t>
  </si>
  <si>
    <t>TRAMO</t>
  </si>
  <si>
    <t>DNV</t>
  </si>
  <si>
    <t>Definición de TMDA</t>
  </si>
  <si>
    <r>
      <t xml:space="preserve">LIV: </t>
    </r>
    <r>
      <rPr>
        <sz val="11"/>
        <color theme="1"/>
        <rFont val="Arial"/>
        <family val="2"/>
      </rPr>
      <t>autos y camionetas</t>
    </r>
  </si>
  <si>
    <r>
      <t xml:space="preserve">BU: </t>
    </r>
    <r>
      <rPr>
        <sz val="11"/>
        <color theme="1"/>
        <rFont val="Arial"/>
        <family val="2"/>
      </rPr>
      <t>ómnibus larga distancia</t>
    </r>
  </si>
  <si>
    <r>
      <t xml:space="preserve">BU1: </t>
    </r>
    <r>
      <rPr>
        <sz val="11"/>
        <color theme="1"/>
        <rFont val="Arial"/>
        <family val="2"/>
      </rPr>
      <t xml:space="preserve">2 ejes </t>
    </r>
  </si>
  <si>
    <r>
      <t xml:space="preserve">BU2: </t>
    </r>
    <r>
      <rPr>
        <sz val="11"/>
        <color theme="1"/>
        <rFont val="Arial"/>
        <family val="2"/>
      </rPr>
      <t>3 ejes y 4 jes</t>
    </r>
  </si>
  <si>
    <r>
      <t>SA: c</t>
    </r>
    <r>
      <rPr>
        <sz val="11"/>
        <color theme="1"/>
        <rFont val="Arial"/>
        <family val="2"/>
      </rPr>
      <t>amión s/ acoplado</t>
    </r>
  </si>
  <si>
    <r>
      <t xml:space="preserve">SA1: </t>
    </r>
    <r>
      <rPr>
        <sz val="11"/>
        <color theme="1"/>
        <rFont val="Arial"/>
        <family val="2"/>
      </rPr>
      <t>11 y Bus 2 ejes</t>
    </r>
  </si>
  <si>
    <r>
      <rPr>
        <b/>
        <sz val="11"/>
        <color theme="1"/>
        <rFont val="Arial"/>
        <family val="2"/>
      </rPr>
      <t xml:space="preserve">SA2: </t>
    </r>
    <r>
      <rPr>
        <sz val="11"/>
        <color theme="1"/>
        <rFont val="Arial"/>
        <family val="2"/>
      </rPr>
      <t>12 y 13</t>
    </r>
  </si>
  <si>
    <r>
      <t xml:space="preserve">CA: </t>
    </r>
    <r>
      <rPr>
        <sz val="11"/>
        <color theme="1"/>
        <rFont val="Arial"/>
        <family val="2"/>
      </rPr>
      <t>camión c/ acoplado</t>
    </r>
  </si>
  <si>
    <r>
      <t xml:space="preserve">CA1: </t>
    </r>
    <r>
      <rPr>
        <sz val="11"/>
        <color theme="1"/>
        <rFont val="Arial"/>
        <family val="2"/>
      </rPr>
      <t>11-11</t>
    </r>
  </si>
  <si>
    <r>
      <t xml:space="preserve">CA2: </t>
    </r>
    <r>
      <rPr>
        <sz val="11"/>
        <color theme="1"/>
        <rFont val="Arial"/>
        <family val="2"/>
      </rPr>
      <t>11-12</t>
    </r>
  </si>
  <si>
    <r>
      <t xml:space="preserve">CA3: </t>
    </r>
    <r>
      <rPr>
        <sz val="11"/>
        <color theme="1"/>
        <rFont val="Arial"/>
        <family val="2"/>
      </rPr>
      <t>12-12</t>
    </r>
  </si>
  <si>
    <r>
      <t xml:space="preserve">CA: </t>
    </r>
    <r>
      <rPr>
        <sz val="11"/>
        <color theme="1"/>
        <rFont val="Arial"/>
        <family val="2"/>
      </rPr>
      <t>camión c/ semiremolque</t>
    </r>
  </si>
  <si>
    <r>
      <t xml:space="preserve">SE1: </t>
    </r>
    <r>
      <rPr>
        <sz val="11"/>
        <color theme="1"/>
        <rFont val="Arial"/>
        <family val="2"/>
      </rPr>
      <t>111</t>
    </r>
  </si>
  <si>
    <r>
      <t xml:space="preserve">SE2: </t>
    </r>
    <r>
      <rPr>
        <sz val="11"/>
        <color theme="1"/>
        <rFont val="Arial"/>
        <family val="2"/>
      </rPr>
      <t>112</t>
    </r>
  </si>
  <si>
    <r>
      <t xml:space="preserve">SE3: </t>
    </r>
    <r>
      <rPr>
        <sz val="11"/>
        <color theme="1"/>
        <rFont val="Arial"/>
        <family val="2"/>
      </rPr>
      <t>113 y 122</t>
    </r>
  </si>
  <si>
    <r>
      <t xml:space="preserve">SE4: </t>
    </r>
    <r>
      <rPr>
        <sz val="11"/>
        <color theme="1"/>
        <rFont val="Arial"/>
        <family val="2"/>
      </rPr>
      <t>123</t>
    </r>
  </si>
  <si>
    <t>%</t>
  </si>
  <si>
    <t>2 (RP26 Sur)</t>
  </si>
  <si>
    <t>BU1 + SA1</t>
  </si>
  <si>
    <t>BU2 + SA2 + CA1 + SE1 + SE2</t>
  </si>
  <si>
    <t>CA2 + CA3 + SE3</t>
  </si>
  <si>
    <t>Cat 4</t>
  </si>
  <si>
    <t>Cat 3</t>
  </si>
  <si>
    <t>Cat 2</t>
  </si>
  <si>
    <t>Cat 5</t>
  </si>
  <si>
    <t>Nogoyá a RN12 Este</t>
  </si>
  <si>
    <t>Nogoyá a RN12 Oeste</t>
  </si>
  <si>
    <t>Nogoyá - RP26 Sur</t>
  </si>
  <si>
    <t>TMDA Livianos</t>
  </si>
  <si>
    <t>LIVIANOS</t>
  </si>
  <si>
    <t>PESADOS</t>
  </si>
  <si>
    <t>RP26-S</t>
  </si>
  <si>
    <t>RN12-E</t>
  </si>
  <si>
    <t>RN12-O</t>
  </si>
  <si>
    <t>Horario</t>
  </si>
  <si>
    <t>9:00 a 13:00 hs</t>
  </si>
  <si>
    <t>PLANILLA INFORME</t>
  </si>
  <si>
    <t>RN12 al Este (Cobertura)</t>
  </si>
  <si>
    <t>RN12 al Oeste (Permanente)</t>
  </si>
  <si>
    <t>Factor Horario Diario</t>
  </si>
  <si>
    <t>Factor Diario Mensual</t>
  </si>
  <si>
    <r>
      <t>Tipo de Día: </t>
    </r>
    <r>
      <rPr>
        <sz val="11"/>
        <color rgb="FF444444"/>
        <rFont val="Arial"/>
        <family val="2"/>
      </rPr>
      <t>Todos</t>
    </r>
  </si>
  <si>
    <r>
      <t>Tramo:</t>
    </r>
    <r>
      <rPr>
        <sz val="11"/>
        <color rgb="FF444444"/>
        <rFont val="Arial"/>
        <family val="2"/>
      </rPr>
      <t> 1170070 </t>
    </r>
  </si>
  <si>
    <r>
      <t>Prog. Inicio:</t>
    </r>
    <r>
      <rPr>
        <sz val="11"/>
        <color rgb="FF444444"/>
        <rFont val="Arial"/>
        <family val="2"/>
      </rPr>
      <t>  km: 348.43 </t>
    </r>
  </si>
  <si>
    <r>
      <t>Prog. Fin:</t>
    </r>
    <r>
      <rPr>
        <sz val="11"/>
        <color rgb="FF444444"/>
        <rFont val="Arial"/>
        <family val="2"/>
      </rPr>
      <t>  km: 401.29 </t>
    </r>
  </si>
  <si>
    <r>
      <t>Ruta: </t>
    </r>
    <r>
      <rPr>
        <sz val="11"/>
        <color rgb="FF444444"/>
        <rFont val="Arial"/>
        <family val="2"/>
      </rPr>
      <t>0012</t>
    </r>
  </si>
  <si>
    <r>
      <t>Año:</t>
    </r>
    <r>
      <rPr>
        <sz val="11"/>
        <color rgb="FF444444"/>
        <rFont val="Arial"/>
        <family val="2"/>
      </rPr>
      <t> 2023</t>
    </r>
  </si>
  <si>
    <r>
      <t>Mes:</t>
    </r>
    <r>
      <rPr>
        <sz val="11"/>
        <color rgb="FF444444"/>
        <rFont val="Arial"/>
        <family val="2"/>
      </rPr>
      <t> 9</t>
    </r>
  </si>
  <si>
    <r>
      <t>Distrito:</t>
    </r>
    <r>
      <rPr>
        <sz val="11"/>
        <color rgb="FF444444"/>
        <rFont val="Arial"/>
        <family val="2"/>
      </rPr>
      <t>  DTO: 17</t>
    </r>
  </si>
  <si>
    <r>
      <t>Descripcion:</t>
    </r>
    <r>
      <rPr>
        <sz val="11"/>
        <color rgb="FF444444"/>
        <rFont val="Arial"/>
        <family val="2"/>
      </rPr>
      <t>  ACC.A NOGOYA(I) - INT.R.N.131 (I) </t>
    </r>
  </si>
  <si>
    <t>CENSO TRÁNSITO</t>
  </si>
  <si>
    <t>DATOS ANTECEDENTES</t>
  </si>
  <si>
    <t>TMDA Pesados</t>
  </si>
  <si>
    <t>Cat. 1</t>
  </si>
  <si>
    <t>Cat. 2</t>
  </si>
  <si>
    <t>Cat. 3</t>
  </si>
  <si>
    <t>Cat. 4</t>
  </si>
  <si>
    <t>Cat. 5</t>
  </si>
  <si>
    <t>PUESTO PERMANENTE DNV</t>
  </si>
  <si>
    <t xml:space="preserve"> ACC.A NOGOYA (I) - INT.R.N.131 (I)</t>
  </si>
  <si>
    <t>TMDA pesados por día</t>
  </si>
  <si>
    <t>TMDA Livianos por día</t>
  </si>
  <si>
    <t>% Total Veh. Pesados</t>
  </si>
  <si>
    <t>veh.</t>
  </si>
  <si>
    <t>Tramos</t>
  </si>
  <si>
    <t>-</t>
  </si>
  <si>
    <t>Cant. censada</t>
  </si>
  <si>
    <t>% del total diario</t>
  </si>
  <si>
    <t>Vehículos censados</t>
  </si>
  <si>
    <t>PLANILLA DE DISTRIBUCIÓN DE PESADOS</t>
  </si>
  <si>
    <t>RN12_2 Perm 2023</t>
  </si>
  <si>
    <t>RN12_1 Cob 2020</t>
  </si>
  <si>
    <t>%  Vehículos pesados</t>
  </si>
  <si>
    <t>Vehículos censados ponderado</t>
  </si>
  <si>
    <t>Total vehículos pesados ponderado</t>
  </si>
  <si>
    <t>Prog. Fin</t>
  </si>
  <si>
    <t>Prog. Inicio</t>
  </si>
  <si>
    <t>RUTA</t>
  </si>
  <si>
    <t>RP26 (Nogoyá - Aº Montoya)</t>
  </si>
  <si>
    <t>Vehículos pesados</t>
  </si>
  <si>
    <t>Vehículos livianos</t>
  </si>
  <si>
    <t>Porcentual (%)</t>
  </si>
  <si>
    <t>Total</t>
  </si>
  <si>
    <t>Peso Horario Diario PHD (%)</t>
  </si>
  <si>
    <r>
      <t>Día:</t>
    </r>
    <r>
      <rPr>
        <sz val="11"/>
        <color rgb="FF444444"/>
        <rFont val="Arial"/>
        <family val="2"/>
      </rPr>
      <t> sábado</t>
    </r>
  </si>
  <si>
    <t>∑ Pesados RN26</t>
  </si>
  <si>
    <t>%Pesados dirección Oeste</t>
  </si>
  <si>
    <t>%Pesados dirección Este</t>
  </si>
  <si>
    <t>Dato Base</t>
  </si>
  <si>
    <t>DEFINITIVAS</t>
  </si>
  <si>
    <t>PROYECCIONES TMDA</t>
  </si>
  <si>
    <t>CIRCUNVALACIÓN</t>
  </si>
  <si>
    <t>Tramo OESTE</t>
  </si>
  <si>
    <t>Tramo ESTE</t>
  </si>
  <si>
    <t>Tasa de crecimiento - Circunvalación</t>
  </si>
  <si>
    <t>Nº</t>
  </si>
  <si>
    <t>SÁBADO</t>
  </si>
  <si>
    <t xml:space="preserve">∑ Pesados </t>
  </si>
  <si>
    <t xml:space="preserve">∑ Livianos </t>
  </si>
  <si>
    <t>% atribuido</t>
  </si>
  <si>
    <t>Categoría Censos</t>
  </si>
  <si>
    <t>Cat. 1: Livianos</t>
  </si>
  <si>
    <t>Cat. 3: Camión c/ acoplado</t>
  </si>
  <si>
    <t>Cat. 2: Colectivos</t>
  </si>
  <si>
    <t>Cat. 4: Camión s/ acoplado</t>
  </si>
  <si>
    <t>Cat. 5: Semirremolque</t>
  </si>
  <si>
    <t>TMDA Base</t>
  </si>
  <si>
    <t>Nro.</t>
  </si>
  <si>
    <t>TABLAS EXTRA INFORME</t>
  </si>
  <si>
    <t xml:space="preserve">TMDA 2024 </t>
  </si>
  <si>
    <t>Día de semana</t>
  </si>
  <si>
    <t xml:space="preserve">Factor Mensual </t>
  </si>
  <si>
    <t xml:space="preserve">Factor Diario Mensual </t>
  </si>
  <si>
    <t xml:space="preserve">TMDA por día </t>
  </si>
  <si>
    <t xml:space="preserve">Hora </t>
  </si>
  <si>
    <t>TMDA 2024 ponderado</t>
  </si>
  <si>
    <t>Puesto</t>
  </si>
  <si>
    <t xml:space="preserve">% PESADOS  </t>
  </si>
  <si>
    <t xml:space="preserve">TMDA PESADOS </t>
  </si>
  <si>
    <t xml:space="preserve">TMDA LIVIANOS </t>
  </si>
  <si>
    <t>Nogoyá - RN12 Oeste</t>
  </si>
  <si>
    <t>Nogoyá -RN12 Este</t>
  </si>
  <si>
    <t>RP26 Sur - Nogoyá</t>
  </si>
  <si>
    <t>P2</t>
  </si>
  <si>
    <t>P3</t>
  </si>
  <si>
    <t>P1</t>
  </si>
  <si>
    <t>TMDA Perm.</t>
  </si>
  <si>
    <t>TMDA Cob.</t>
  </si>
  <si>
    <t>TMDA 2024 Pesados</t>
  </si>
  <si>
    <t>TMDA 2024 Livianos</t>
  </si>
  <si>
    <t xml:space="preserve">TMDA TOTAL 2024 </t>
  </si>
  <si>
    <t>Tramos de rutas existentes</t>
  </si>
  <si>
    <t>% asignado al tramo</t>
  </si>
  <si>
    <t xml:space="preserve">TMDA livianos </t>
  </si>
  <si>
    <t>Cantidad asignada al tramo</t>
  </si>
  <si>
    <t xml:space="preserve">TMDA Pesados </t>
  </si>
  <si>
    <t>Cat. 1 Livianos</t>
  </si>
  <si>
    <t xml:space="preserve">PROYECCIÓN </t>
  </si>
  <si>
    <t xml:space="preserve">TMDA         30 años </t>
  </si>
  <si>
    <t xml:space="preserve">TMDA          15 años </t>
  </si>
  <si>
    <t xml:space="preserve">Tramo OESTE </t>
  </si>
  <si>
    <t>Tramos proyecto</t>
  </si>
  <si>
    <t>Cat. 3 Camiones sin acoplado</t>
  </si>
  <si>
    <t>Cat. 4 Camiones con acoplado</t>
  </si>
  <si>
    <t>Cat. 5 Semi-remolques</t>
  </si>
  <si>
    <t>Cat. 2 Buses</t>
  </si>
  <si>
    <t>3 (RN12 Este)</t>
  </si>
  <si>
    <t>RN12-E+ RN12-O</t>
  </si>
  <si>
    <t>Proy</t>
  </si>
  <si>
    <t>TMDA Año 0 Constr.</t>
  </si>
  <si>
    <t>Años 15 a 30</t>
  </si>
</sst>
</file>

<file path=xl/styles.xml><?xml version="1.0" encoding="utf-8"?>
<styleSheet xmlns="http://schemas.openxmlformats.org/spreadsheetml/2006/main">
  <numFmts count="7">
    <numFmt numFmtId="164" formatCode="0.0%"/>
    <numFmt numFmtId="165" formatCode="0.0"/>
    <numFmt numFmtId="166" formatCode="0.000"/>
    <numFmt numFmtId="167" formatCode="0.000%"/>
    <numFmt numFmtId="168" formatCode="0.0000%"/>
    <numFmt numFmtId="169" formatCode="0.00000%"/>
    <numFmt numFmtId="170" formatCode="0.000000%"/>
  </numFmts>
  <fonts count="33">
    <font>
      <sz val="11"/>
      <color theme="1"/>
      <name val="Calibri"/>
      <family val="2"/>
      <scheme val="minor"/>
    </font>
    <font>
      <b/>
      <sz val="24"/>
      <color rgb="FF333333"/>
      <name val="Inherit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Poppins"/>
    </font>
    <font>
      <b/>
      <sz val="8"/>
      <name val="Poppins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trike/>
      <sz val="11"/>
      <color theme="1"/>
      <name val="Calibri"/>
      <family val="2"/>
      <scheme val="minor"/>
    </font>
    <font>
      <strike/>
      <sz val="11"/>
      <name val="Arial"/>
      <family val="2"/>
      <charset val="204"/>
    </font>
    <font>
      <b/>
      <strike/>
      <sz val="11"/>
      <name val="Arial"/>
      <family val="2"/>
      <charset val="204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444444"/>
      <name val="Arial"/>
      <family val="2"/>
    </font>
    <font>
      <b/>
      <sz val="11"/>
      <color rgb="FF444444"/>
      <name val="Arial"/>
      <family val="2"/>
    </font>
    <font>
      <sz val="11"/>
      <color rgb="FF444444"/>
      <name val="Arial"/>
      <family val="2"/>
    </font>
    <font>
      <i/>
      <u/>
      <sz val="11"/>
      <color theme="1"/>
      <name val="Arial"/>
      <family val="2"/>
    </font>
    <font>
      <b/>
      <u/>
      <sz val="12"/>
      <color theme="1"/>
      <name val="Arial"/>
      <family val="2"/>
    </font>
    <font>
      <u/>
      <sz val="11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DB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F64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92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thick">
        <color rgb="FFDDDDDD"/>
      </bottom>
      <diagonal/>
    </border>
    <border>
      <left/>
      <right/>
      <top/>
      <bottom style="medium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8" fillId="0" borderId="0"/>
    <xf numFmtId="0" fontId="11" fillId="0" borderId="0"/>
  </cellStyleXfs>
  <cellXfs count="64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3" fontId="0" fillId="0" borderId="15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164" fontId="4" fillId="0" borderId="12" xfId="1" applyNumberFormat="1" applyFont="1" applyBorder="1" applyAlignment="1">
      <alignment horizontal="center"/>
    </xf>
    <xf numFmtId="164" fontId="4" fillId="0" borderId="13" xfId="1" applyNumberFormat="1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" fontId="4" fillId="0" borderId="38" xfId="0" applyNumberFormat="1" applyFont="1" applyBorder="1" applyAlignment="1">
      <alignment horizontal="center" vertical="center"/>
    </xf>
    <xf numFmtId="1" fontId="4" fillId="0" borderId="39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10" fontId="5" fillId="0" borderId="0" xfId="1" applyNumberFormat="1" applyFont="1" applyAlignment="1">
      <alignment horizontal="center" vertical="center"/>
    </xf>
    <xf numFmtId="10" fontId="4" fillId="0" borderId="42" xfId="1" applyNumberFormat="1" applyFon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9" fontId="4" fillId="0" borderId="11" xfId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164" fontId="4" fillId="0" borderId="46" xfId="1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164" fontId="4" fillId="0" borderId="45" xfId="1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3" fontId="0" fillId="0" borderId="51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10" fontId="9" fillId="0" borderId="4" xfId="1" applyNumberFormat="1" applyFont="1" applyBorder="1" applyAlignment="1">
      <alignment horizontal="center" vertical="center" wrapText="1"/>
    </xf>
    <xf numFmtId="10" fontId="9" fillId="0" borderId="3" xfId="1" applyNumberFormat="1" applyFont="1" applyBorder="1" applyAlignment="1">
      <alignment horizontal="center" vertical="center" wrapText="1"/>
    </xf>
    <xf numFmtId="1" fontId="4" fillId="0" borderId="48" xfId="0" applyNumberFormat="1" applyFont="1" applyBorder="1" applyAlignment="1">
      <alignment horizontal="center" vertical="center"/>
    </xf>
    <xf numFmtId="10" fontId="4" fillId="0" borderId="52" xfId="1" applyNumberFormat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 wrapText="1"/>
    </xf>
    <xf numFmtId="0" fontId="10" fillId="3" borderId="3" xfId="3" applyFont="1" applyFill="1" applyBorder="1" applyAlignment="1">
      <alignment horizontal="center" vertical="center" wrapText="1"/>
    </xf>
    <xf numFmtId="2" fontId="9" fillId="4" borderId="3" xfId="3" applyNumberFormat="1" applyFont="1" applyFill="1" applyBorder="1" applyAlignment="1">
      <alignment horizontal="center" vertical="center" wrapText="1"/>
    </xf>
    <xf numFmtId="10" fontId="10" fillId="2" borderId="3" xfId="2" applyNumberFormat="1" applyFont="1" applyFill="1" applyBorder="1" applyAlignment="1">
      <alignment horizontal="center" vertical="center" wrapText="1"/>
    </xf>
    <xf numFmtId="10" fontId="10" fillId="2" borderId="29" xfId="2" applyNumberFormat="1" applyFont="1" applyFill="1" applyBorder="1" applyAlignment="1">
      <alignment horizontal="center" vertical="center" wrapText="1"/>
    </xf>
    <xf numFmtId="10" fontId="10" fillId="2" borderId="21" xfId="2" applyNumberFormat="1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3" fontId="0" fillId="0" borderId="44" xfId="0" applyNumberForma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0" xfId="0" applyFont="1" applyBorder="1" applyAlignment="1">
      <alignment vertical="center"/>
    </xf>
    <xf numFmtId="3" fontId="4" fillId="0" borderId="30" xfId="0" applyNumberFormat="1" applyFont="1" applyBorder="1" applyAlignment="1">
      <alignment horizontal="center" vertical="center"/>
    </xf>
    <xf numFmtId="3" fontId="4" fillId="0" borderId="51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49" xfId="0" applyNumberFormat="1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41" xfId="0" applyNumberFormat="1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53" xfId="0" applyBorder="1" applyAlignment="1">
      <alignment vertical="center"/>
    </xf>
    <xf numFmtId="0" fontId="4" fillId="0" borderId="0" xfId="0" applyFont="1" applyAlignment="1">
      <alignment vertical="center"/>
    </xf>
    <xf numFmtId="3" fontId="4" fillId="0" borderId="20" xfId="0" applyNumberFormat="1" applyFont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" fontId="4" fillId="0" borderId="27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vertical="center"/>
    </xf>
    <xf numFmtId="1" fontId="4" fillId="0" borderId="50" xfId="0" applyNumberFormat="1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10" fontId="4" fillId="0" borderId="55" xfId="1" applyNumberFormat="1" applyFont="1" applyBorder="1" applyAlignment="1">
      <alignment horizontal="center" vertical="center"/>
    </xf>
    <xf numFmtId="164" fontId="4" fillId="0" borderId="58" xfId="1" applyNumberFormat="1" applyFont="1" applyBorder="1" applyAlignment="1">
      <alignment horizontal="center" vertical="center"/>
    </xf>
    <xf numFmtId="164" fontId="4" fillId="0" borderId="36" xfId="1" applyNumberFormat="1" applyFont="1" applyBorder="1" applyAlignment="1">
      <alignment horizontal="center" vertical="center"/>
    </xf>
    <xf numFmtId="164" fontId="4" fillId="0" borderId="37" xfId="1" applyNumberFormat="1" applyFont="1" applyBorder="1" applyAlignment="1">
      <alignment horizontal="center" vertical="center"/>
    </xf>
    <xf numFmtId="10" fontId="4" fillId="0" borderId="54" xfId="1" applyNumberFormat="1" applyFont="1" applyBorder="1" applyAlignment="1">
      <alignment horizontal="center" vertical="center"/>
    </xf>
    <xf numFmtId="9" fontId="4" fillId="0" borderId="9" xfId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/>
    </xf>
    <xf numFmtId="164" fontId="4" fillId="0" borderId="10" xfId="1" applyNumberFormat="1" applyFont="1" applyBorder="1" applyAlignment="1">
      <alignment horizontal="center"/>
    </xf>
    <xf numFmtId="164" fontId="4" fillId="0" borderId="28" xfId="1" applyNumberFormat="1" applyFont="1" applyBorder="1" applyAlignment="1">
      <alignment horizontal="center" vertical="center"/>
    </xf>
    <xf numFmtId="164" fontId="4" fillId="0" borderId="15" xfId="1" applyNumberFormat="1" applyFont="1" applyBorder="1" applyAlignment="1">
      <alignment horizontal="center"/>
    </xf>
    <xf numFmtId="1" fontId="4" fillId="0" borderId="53" xfId="0" applyNumberFormat="1" applyFont="1" applyBorder="1" applyAlignment="1">
      <alignment horizontal="center" vertical="center"/>
    </xf>
    <xf numFmtId="164" fontId="4" fillId="0" borderId="29" xfId="1" applyNumberFormat="1" applyFont="1" applyBorder="1" applyAlignment="1">
      <alignment horizontal="center" vertical="center"/>
    </xf>
    <xf numFmtId="164" fontId="4" fillId="0" borderId="56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0" borderId="10" xfId="1" applyNumberFormat="1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10" fontId="4" fillId="0" borderId="57" xfId="1" applyNumberFormat="1" applyFont="1" applyBorder="1" applyAlignment="1">
      <alignment horizontal="center" vertical="center"/>
    </xf>
    <xf numFmtId="164" fontId="4" fillId="0" borderId="60" xfId="1" applyNumberFormat="1" applyFont="1" applyBorder="1" applyAlignment="1">
      <alignment horizontal="center" vertical="center"/>
    </xf>
    <xf numFmtId="10" fontId="4" fillId="0" borderId="61" xfId="1" applyNumberFormat="1" applyFont="1" applyBorder="1" applyAlignment="1">
      <alignment horizontal="center" vertical="center"/>
    </xf>
    <xf numFmtId="9" fontId="4" fillId="0" borderId="15" xfId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1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7" fillId="5" borderId="3" xfId="0" applyFont="1" applyFill="1" applyBorder="1" applyAlignment="1">
      <alignment horizontal="center" wrapText="1"/>
    </xf>
    <xf numFmtId="0" fontId="17" fillId="6" borderId="34" xfId="0" applyFont="1" applyFill="1" applyBorder="1" applyAlignment="1">
      <alignment horizontal="center" vertical="center" wrapText="1"/>
    </xf>
    <xf numFmtId="0" fontId="17" fillId="6" borderId="54" xfId="0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0" fillId="3" borderId="34" xfId="0" applyFill="1" applyBorder="1"/>
    <xf numFmtId="0" fontId="0" fillId="3" borderId="54" xfId="0" applyFill="1" applyBorder="1"/>
    <xf numFmtId="0" fontId="0" fillId="3" borderId="15" xfId="0" applyFill="1" applyBorder="1"/>
    <xf numFmtId="0" fontId="17" fillId="5" borderId="3" xfId="0" applyFont="1" applyFill="1" applyBorder="1" applyAlignment="1">
      <alignment horizontal="center"/>
    </xf>
    <xf numFmtId="1" fontId="4" fillId="0" borderId="19" xfId="0" applyNumberFormat="1" applyFont="1" applyBorder="1" applyAlignment="1">
      <alignment horizontal="center"/>
    </xf>
    <xf numFmtId="164" fontId="0" fillId="0" borderId="5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3" fillId="0" borderId="5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19" fillId="0" borderId="0" xfId="0" applyFont="1"/>
    <xf numFmtId="0" fontId="19" fillId="0" borderId="9" xfId="0" applyFont="1" applyBorder="1" applyAlignment="1">
      <alignment horizontal="center"/>
    </xf>
    <xf numFmtId="0" fontId="19" fillId="0" borderId="45" xfId="0" applyFont="1" applyBorder="1" applyAlignment="1">
      <alignment horizontal="center"/>
    </xf>
    <xf numFmtId="0" fontId="20" fillId="0" borderId="8" xfId="0" applyFont="1" applyBorder="1" applyAlignment="1">
      <alignment horizontal="center" vertical="center"/>
    </xf>
    <xf numFmtId="1" fontId="20" fillId="0" borderId="3" xfId="0" applyNumberFormat="1" applyFont="1" applyBorder="1" applyAlignment="1">
      <alignment horizontal="center" vertical="center"/>
    </xf>
    <xf numFmtId="10" fontId="20" fillId="0" borderId="10" xfId="0" applyNumberFormat="1" applyFont="1" applyBorder="1" applyAlignment="1">
      <alignment horizontal="center" vertical="center"/>
    </xf>
    <xf numFmtId="10" fontId="19" fillId="0" borderId="25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/>
    </xf>
    <xf numFmtId="165" fontId="22" fillId="0" borderId="20" xfId="0" applyNumberFormat="1" applyFont="1" applyBorder="1" applyAlignment="1">
      <alignment horizontal="center" vertical="center"/>
    </xf>
    <xf numFmtId="165" fontId="22" fillId="0" borderId="21" xfId="0" applyNumberFormat="1" applyFont="1" applyBorder="1" applyAlignment="1">
      <alignment horizontal="center" vertical="center"/>
    </xf>
    <xf numFmtId="165" fontId="23" fillId="0" borderId="3" xfId="0" applyNumberFormat="1" applyFont="1" applyBorder="1" applyAlignment="1">
      <alignment horizontal="center"/>
    </xf>
    <xf numFmtId="0" fontId="4" fillId="0" borderId="0" xfId="0" applyFont="1"/>
    <xf numFmtId="0" fontId="5" fillId="8" borderId="0" xfId="0" applyFont="1" applyFill="1" applyAlignment="1">
      <alignment horizontal="center"/>
    </xf>
    <xf numFmtId="0" fontId="21" fillId="0" borderId="3" xfId="0" applyFont="1" applyBorder="1" applyAlignment="1">
      <alignment horizontal="center" vertical="center" wrapText="1"/>
    </xf>
    <xf numFmtId="0" fontId="23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/>
    </xf>
    <xf numFmtId="0" fontId="23" fillId="0" borderId="3" xfId="0" applyFont="1" applyBorder="1" applyAlignment="1">
      <alignment horizontal="center" vertical="center"/>
    </xf>
    <xf numFmtId="3" fontId="23" fillId="0" borderId="3" xfId="0" applyNumberFormat="1" applyFont="1" applyBorder="1" applyAlignment="1">
      <alignment horizontal="center" vertical="center"/>
    </xf>
    <xf numFmtId="0" fontId="23" fillId="0" borderId="11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35" xfId="0" applyFont="1" applyBorder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" fontId="23" fillId="0" borderId="34" xfId="0" applyNumberFormat="1" applyFont="1" applyBorder="1" applyAlignment="1">
      <alignment horizontal="center" vertical="center"/>
    </xf>
    <xf numFmtId="10" fontId="23" fillId="0" borderId="30" xfId="0" applyNumberFormat="1" applyFont="1" applyBorder="1" applyAlignment="1">
      <alignment horizontal="center"/>
    </xf>
    <xf numFmtId="10" fontId="23" fillId="0" borderId="22" xfId="0" applyNumberFormat="1" applyFont="1" applyBorder="1" applyAlignment="1">
      <alignment horizontal="center"/>
    </xf>
    <xf numFmtId="10" fontId="23" fillId="0" borderId="21" xfId="0" applyNumberFormat="1" applyFont="1" applyBorder="1" applyAlignment="1">
      <alignment horizontal="center"/>
    </xf>
    <xf numFmtId="10" fontId="23" fillId="0" borderId="30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center"/>
    </xf>
    <xf numFmtId="10" fontId="2" fillId="0" borderId="39" xfId="0" applyNumberFormat="1" applyFont="1" applyBorder="1" applyAlignment="1">
      <alignment horizontal="center"/>
    </xf>
    <xf numFmtId="10" fontId="2" fillId="0" borderId="13" xfId="0" applyNumberFormat="1" applyFont="1" applyBorder="1" applyAlignment="1">
      <alignment horizontal="center"/>
    </xf>
    <xf numFmtId="10" fontId="2" fillId="0" borderId="16" xfId="0" applyNumberFormat="1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2" fillId="0" borderId="43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1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9" fontId="25" fillId="0" borderId="0" xfId="1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" fillId="0" borderId="0" xfId="0" applyFont="1"/>
    <xf numFmtId="1" fontId="23" fillId="0" borderId="3" xfId="0" applyNumberFormat="1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34" xfId="0" applyFont="1" applyBorder="1" applyAlignment="1">
      <alignment horizontal="left" vertical="center"/>
    </xf>
    <xf numFmtId="9" fontId="25" fillId="0" borderId="3" xfId="1" applyFont="1" applyBorder="1" applyAlignment="1">
      <alignment horizontal="center" vertical="center"/>
    </xf>
    <xf numFmtId="1" fontId="23" fillId="0" borderId="0" xfId="0" applyNumberFormat="1" applyFont="1" applyAlignment="1">
      <alignment vertical="center"/>
    </xf>
    <xf numFmtId="0" fontId="25" fillId="0" borderId="3" xfId="0" applyFont="1" applyBorder="1" applyAlignment="1">
      <alignment vertical="center"/>
    </xf>
    <xf numFmtId="9" fontId="23" fillId="0" borderId="3" xfId="1" applyFont="1" applyBorder="1" applyAlignment="1">
      <alignment horizontal="center" vertical="center"/>
    </xf>
    <xf numFmtId="20" fontId="25" fillId="0" borderId="3" xfId="0" applyNumberFormat="1" applyFont="1" applyBorder="1" applyAlignment="1">
      <alignment horizontal="center" vertical="center"/>
    </xf>
    <xf numFmtId="2" fontId="25" fillId="0" borderId="3" xfId="0" applyNumberFormat="1" applyFont="1" applyBorder="1" applyAlignment="1">
      <alignment horizontal="center" vertical="center"/>
    </xf>
    <xf numFmtId="166" fontId="25" fillId="0" borderId="3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indent="1"/>
    </xf>
    <xf numFmtId="0" fontId="26" fillId="9" borderId="3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 indent="1"/>
    </xf>
    <xf numFmtId="0" fontId="28" fillId="0" borderId="0" xfId="0" applyFont="1" applyAlignment="1">
      <alignment vertical="center" wrapText="1"/>
    </xf>
    <xf numFmtId="0" fontId="26" fillId="4" borderId="4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9" fontId="25" fillId="0" borderId="3" xfId="1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 wrapText="1"/>
    </xf>
    <xf numFmtId="0" fontId="21" fillId="4" borderId="54" xfId="0" applyFont="1" applyFill="1" applyBorder="1" applyAlignment="1">
      <alignment horizontal="center" vertical="center" wrapText="1"/>
    </xf>
    <xf numFmtId="0" fontId="2" fillId="0" borderId="70" xfId="0" applyFont="1" applyBorder="1" applyAlignment="1">
      <alignment vertical="top"/>
    </xf>
    <xf numFmtId="0" fontId="23" fillId="0" borderId="52" xfId="0" applyFont="1" applyBorder="1" applyAlignment="1">
      <alignment vertical="top"/>
    </xf>
    <xf numFmtId="0" fontId="23" fillId="0" borderId="44" xfId="0" applyFont="1" applyBorder="1" applyAlignment="1">
      <alignment vertical="top"/>
    </xf>
    <xf numFmtId="0" fontId="2" fillId="0" borderId="69" xfId="0" applyFont="1" applyBorder="1" applyAlignment="1">
      <alignment vertical="top"/>
    </xf>
    <xf numFmtId="0" fontId="2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3" fillId="0" borderId="60" xfId="0" applyFont="1" applyBorder="1" applyAlignment="1">
      <alignment vertical="top"/>
    </xf>
    <xf numFmtId="0" fontId="2" fillId="0" borderId="51" xfId="0" applyFont="1" applyBorder="1" applyAlignment="1">
      <alignment vertical="top"/>
    </xf>
    <xf numFmtId="0" fontId="23" fillId="0" borderId="32" xfId="0" applyFont="1" applyBorder="1" applyAlignment="1">
      <alignment vertical="top"/>
    </xf>
    <xf numFmtId="0" fontId="2" fillId="0" borderId="32" xfId="0" applyFont="1" applyBorder="1" applyAlignment="1">
      <alignment vertical="top"/>
    </xf>
    <xf numFmtId="0" fontId="2" fillId="0" borderId="20" xfId="0" applyFont="1" applyBorder="1" applyAlignment="1">
      <alignment vertical="top"/>
    </xf>
    <xf numFmtId="0" fontId="17" fillId="4" borderId="3" xfId="0" applyFont="1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 wrapText="1"/>
    </xf>
    <xf numFmtId="164" fontId="23" fillId="4" borderId="4" xfId="1" applyNumberFormat="1" applyFont="1" applyFill="1" applyBorder="1" applyAlignment="1">
      <alignment horizontal="center" vertical="center"/>
    </xf>
    <xf numFmtId="9" fontId="23" fillId="4" borderId="4" xfId="1" applyFont="1" applyFill="1" applyBorder="1" applyAlignment="1">
      <alignment horizontal="center" vertical="center"/>
    </xf>
    <xf numFmtId="1" fontId="19" fillId="0" borderId="3" xfId="0" applyNumberFormat="1" applyFont="1" applyBorder="1" applyAlignment="1">
      <alignment horizontal="center" vertical="center"/>
    </xf>
    <xf numFmtId="0" fontId="17" fillId="4" borderId="70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164" fontId="18" fillId="0" borderId="3" xfId="1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2" fontId="25" fillId="0" borderId="0" xfId="0" applyNumberFormat="1" applyFont="1" applyAlignment="1">
      <alignment vertical="center"/>
    </xf>
    <xf numFmtId="1" fontId="25" fillId="0" borderId="4" xfId="0" applyNumberFormat="1" applyFont="1" applyBorder="1" applyAlignment="1">
      <alignment horizontal="center" vertical="center"/>
    </xf>
    <xf numFmtId="1" fontId="25" fillId="0" borderId="3" xfId="0" applyNumberFormat="1" applyFont="1" applyBorder="1" applyAlignment="1">
      <alignment horizontal="center" vertical="center"/>
    </xf>
    <xf numFmtId="166" fontId="25" fillId="0" borderId="0" xfId="0" applyNumberFormat="1" applyFont="1" applyAlignment="1">
      <alignment horizontal="center" vertical="center"/>
    </xf>
    <xf numFmtId="166" fontId="25" fillId="0" borderId="0" xfId="0" applyNumberFormat="1" applyFont="1" applyAlignment="1">
      <alignment horizontal="center"/>
    </xf>
    <xf numFmtId="166" fontId="2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0" fontId="25" fillId="0" borderId="0" xfId="0" applyNumberFormat="1" applyFont="1" applyAlignment="1">
      <alignment vertical="center"/>
    </xf>
    <xf numFmtId="10" fontId="25" fillId="0" borderId="0" xfId="0" applyNumberFormat="1" applyFont="1"/>
    <xf numFmtId="10" fontId="0" fillId="0" borderId="0" xfId="0" applyNumberFormat="1" applyAlignment="1">
      <alignment horizontal="center" vertical="center"/>
    </xf>
    <xf numFmtId="0" fontId="26" fillId="0" borderId="0" xfId="0" applyFont="1" applyAlignment="1">
      <alignment horizontal="center" vertical="center"/>
    </xf>
    <xf numFmtId="1" fontId="25" fillId="0" borderId="0" xfId="0" applyNumberFormat="1" applyFont="1" applyAlignment="1">
      <alignment horizontal="center"/>
    </xf>
    <xf numFmtId="0" fontId="25" fillId="0" borderId="44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/>
    </xf>
    <xf numFmtId="0" fontId="2" fillId="0" borderId="63" xfId="0" applyFont="1" applyBorder="1"/>
    <xf numFmtId="0" fontId="2" fillId="0" borderId="64" xfId="0" applyFont="1" applyBorder="1"/>
    <xf numFmtId="0" fontId="2" fillId="0" borderId="65" xfId="0" applyFont="1" applyBorder="1"/>
    <xf numFmtId="0" fontId="23" fillId="0" borderId="47" xfId="0" applyFont="1" applyBorder="1"/>
    <xf numFmtId="0" fontId="23" fillId="0" borderId="32" xfId="0" applyFont="1" applyBorder="1"/>
    <xf numFmtId="0" fontId="23" fillId="0" borderId="71" xfId="0" applyFont="1" applyBorder="1"/>
    <xf numFmtId="0" fontId="2" fillId="0" borderId="72" xfId="0" applyFont="1" applyBorder="1"/>
    <xf numFmtId="0" fontId="23" fillId="0" borderId="52" xfId="0" applyFont="1" applyBorder="1" applyAlignment="1">
      <alignment horizontal="center"/>
    </xf>
    <xf numFmtId="0" fontId="23" fillId="0" borderId="52" xfId="0" applyFont="1" applyBorder="1"/>
    <xf numFmtId="0" fontId="2" fillId="0" borderId="52" xfId="0" applyFont="1" applyBorder="1"/>
    <xf numFmtId="14" fontId="23" fillId="0" borderId="52" xfId="0" applyNumberFormat="1" applyFont="1" applyBorder="1"/>
    <xf numFmtId="0" fontId="2" fillId="0" borderId="31" xfId="0" applyFont="1" applyBorder="1"/>
    <xf numFmtId="20" fontId="23" fillId="0" borderId="55" xfId="0" applyNumberFormat="1" applyFont="1" applyBorder="1" applyAlignment="1">
      <alignment horizontal="center"/>
    </xf>
    <xf numFmtId="0" fontId="23" fillId="0" borderId="55" xfId="0" applyFont="1" applyBorder="1"/>
    <xf numFmtId="0" fontId="2" fillId="0" borderId="55" xfId="0" applyFont="1" applyBorder="1"/>
    <xf numFmtId="0" fontId="23" fillId="0" borderId="67" xfId="0" applyFont="1" applyBorder="1"/>
    <xf numFmtId="0" fontId="23" fillId="0" borderId="20" xfId="0" applyFont="1" applyBorder="1"/>
    <xf numFmtId="0" fontId="23" fillId="0" borderId="38" xfId="0" applyFont="1" applyBorder="1"/>
    <xf numFmtId="0" fontId="23" fillId="0" borderId="15" xfId="0" applyFont="1" applyBorder="1"/>
    <xf numFmtId="0" fontId="23" fillId="0" borderId="39" xfId="0" applyFont="1" applyBorder="1"/>
    <xf numFmtId="0" fontId="23" fillId="0" borderId="16" xfId="0" applyFont="1" applyBorder="1"/>
    <xf numFmtId="0" fontId="2" fillId="0" borderId="26" xfId="0" applyFont="1" applyBorder="1" applyAlignment="1">
      <alignment horizontal="center" vertical="center"/>
    </xf>
    <xf numFmtId="0" fontId="23" fillId="0" borderId="80" xfId="0" applyFont="1" applyBorder="1" applyAlignment="1">
      <alignment horizontal="center" vertical="center"/>
    </xf>
    <xf numFmtId="0" fontId="23" fillId="0" borderId="68" xfId="0" applyFont="1" applyBorder="1" applyAlignment="1">
      <alignment horizontal="left" vertical="center"/>
    </xf>
    <xf numFmtId="10" fontId="23" fillId="0" borderId="67" xfId="1" applyNumberFormat="1" applyFont="1" applyFill="1" applyBorder="1" applyAlignment="1">
      <alignment horizontal="center" vertical="center"/>
    </xf>
    <xf numFmtId="1" fontId="23" fillId="0" borderId="80" xfId="0" applyNumberFormat="1" applyFont="1" applyBorder="1" applyAlignment="1">
      <alignment horizontal="center" vertical="center"/>
    </xf>
    <xf numFmtId="164" fontId="23" fillId="0" borderId="67" xfId="1" applyNumberFormat="1" applyFont="1" applyFill="1" applyBorder="1" applyAlignment="1">
      <alignment horizontal="center" vertical="center"/>
    </xf>
    <xf numFmtId="164" fontId="23" fillId="0" borderId="0" xfId="0" applyNumberFormat="1" applyFont="1"/>
    <xf numFmtId="164" fontId="25" fillId="0" borderId="0" xfId="0" applyNumberFormat="1" applyFont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3" fillId="0" borderId="87" xfId="0" applyFont="1" applyBorder="1" applyAlignment="1">
      <alignment horizontal="center"/>
    </xf>
    <xf numFmtId="9" fontId="23" fillId="0" borderId="87" xfId="1" applyFont="1" applyFill="1" applyBorder="1" applyAlignment="1">
      <alignment horizontal="center" vertical="center"/>
    </xf>
    <xf numFmtId="9" fontId="23" fillId="0" borderId="25" xfId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/>
    </xf>
    <xf numFmtId="0" fontId="25" fillId="0" borderId="69" xfId="0" applyFont="1" applyBorder="1" applyAlignment="1">
      <alignment horizontal="center" vertical="center"/>
    </xf>
    <xf numFmtId="14" fontId="23" fillId="0" borderId="8" xfId="0" applyNumberFormat="1" applyFont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0" fontId="23" fillId="0" borderId="10" xfId="1" applyNumberFormat="1" applyFont="1" applyFill="1" applyBorder="1" applyAlignment="1">
      <alignment horizontal="center" vertical="center"/>
    </xf>
    <xf numFmtId="10" fontId="23" fillId="0" borderId="13" xfId="1" applyNumberFormat="1" applyFont="1" applyFill="1" applyBorder="1" applyAlignment="1">
      <alignment horizontal="center" vertical="center"/>
    </xf>
    <xf numFmtId="167" fontId="25" fillId="0" borderId="0" xfId="1" applyNumberFormat="1" applyFont="1" applyAlignment="1">
      <alignment vertical="center"/>
    </xf>
    <xf numFmtId="0" fontId="25" fillId="0" borderId="70" xfId="0" applyFont="1" applyBorder="1" applyAlignment="1">
      <alignment horizontal="left" vertical="center"/>
    </xf>
    <xf numFmtId="9" fontId="25" fillId="0" borderId="4" xfId="1" applyFont="1" applyBorder="1" applyAlignment="1">
      <alignment horizontal="center" vertical="center"/>
    </xf>
    <xf numFmtId="9" fontId="26" fillId="0" borderId="25" xfId="1" applyFont="1" applyBorder="1" applyAlignment="1">
      <alignment horizontal="center" vertical="center"/>
    </xf>
    <xf numFmtId="1" fontId="26" fillId="0" borderId="24" xfId="0" applyNumberFormat="1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/>
    </xf>
    <xf numFmtId="10" fontId="23" fillId="0" borderId="3" xfId="1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6" fillId="9" borderId="51" xfId="0" applyFont="1" applyFill="1" applyBorder="1" applyAlignment="1">
      <alignment horizontal="center" vertical="center" wrapText="1"/>
    </xf>
    <xf numFmtId="0" fontId="26" fillId="9" borderId="21" xfId="0" applyFont="1" applyFill="1" applyBorder="1" applyAlignment="1">
      <alignment horizontal="center" vertical="center" wrapText="1"/>
    </xf>
    <xf numFmtId="10" fontId="25" fillId="0" borderId="0" xfId="1" applyNumberFormat="1" applyFont="1" applyAlignment="1">
      <alignment vertical="center"/>
    </xf>
    <xf numFmtId="10" fontId="23" fillId="0" borderId="0" xfId="0" applyNumberFormat="1" applyFont="1"/>
    <xf numFmtId="10" fontId="25" fillId="0" borderId="0" xfId="0" applyNumberFormat="1" applyFont="1" applyAlignment="1">
      <alignment horizontal="center" vertical="center"/>
    </xf>
    <xf numFmtId="169" fontId="25" fillId="0" borderId="0" xfId="0" applyNumberFormat="1" applyFont="1"/>
    <xf numFmtId="170" fontId="25" fillId="0" borderId="0" xfId="0" applyNumberFormat="1" applyFont="1" applyAlignment="1">
      <alignment horizontal="center" vertical="center"/>
    </xf>
    <xf numFmtId="166" fontId="25" fillId="0" borderId="0" xfId="0" applyNumberFormat="1" applyFont="1"/>
    <xf numFmtId="2" fontId="23" fillId="0" borderId="0" xfId="0" applyNumberFormat="1" applyFont="1"/>
    <xf numFmtId="168" fontId="23" fillId="0" borderId="0" xfId="0" applyNumberFormat="1" applyFont="1"/>
    <xf numFmtId="0" fontId="2" fillId="9" borderId="3" xfId="0" applyFont="1" applyFill="1" applyBorder="1" applyAlignment="1">
      <alignment horizontal="center" vertical="center" wrapText="1"/>
    </xf>
    <xf numFmtId="20" fontId="23" fillId="0" borderId="75" xfId="0" applyNumberFormat="1" applyFont="1" applyBorder="1" applyAlignment="1">
      <alignment horizontal="center" vertical="center"/>
    </xf>
    <xf numFmtId="20" fontId="23" fillId="0" borderId="78" xfId="0" applyNumberFormat="1" applyFont="1" applyBorder="1" applyAlignment="1">
      <alignment horizontal="center" vertical="center"/>
    </xf>
    <xf numFmtId="20" fontId="23" fillId="0" borderId="76" xfId="0" applyNumberFormat="1" applyFont="1" applyBorder="1" applyAlignment="1">
      <alignment horizontal="center" vertical="center"/>
    </xf>
    <xf numFmtId="166" fontId="23" fillId="0" borderId="76" xfId="0" applyNumberFormat="1" applyFont="1" applyBorder="1" applyAlignment="1">
      <alignment horizontal="center" vertical="center"/>
    </xf>
    <xf numFmtId="20" fontId="23" fillId="0" borderId="29" xfId="0" applyNumberFormat="1" applyFont="1" applyBorder="1" applyAlignment="1">
      <alignment horizontal="center" vertical="center"/>
    </xf>
    <xf numFmtId="20" fontId="23" fillId="0" borderId="69" xfId="0" applyNumberFormat="1" applyFont="1" applyBorder="1" applyAlignment="1">
      <alignment horizontal="center" vertical="center"/>
    </xf>
    <xf numFmtId="20" fontId="23" fillId="0" borderId="60" xfId="0" applyNumberFormat="1" applyFont="1" applyBorder="1" applyAlignment="1">
      <alignment horizontal="center" vertical="center"/>
    </xf>
    <xf numFmtId="166" fontId="23" fillId="0" borderId="60" xfId="0" applyNumberFormat="1" applyFont="1" applyBorder="1" applyAlignment="1">
      <alignment horizontal="center" vertical="center"/>
    </xf>
    <xf numFmtId="20" fontId="23" fillId="0" borderId="21" xfId="0" applyNumberFormat="1" applyFont="1" applyBorder="1" applyAlignment="1">
      <alignment horizontal="center" vertical="center"/>
    </xf>
    <xf numFmtId="20" fontId="23" fillId="0" borderId="51" xfId="0" applyNumberFormat="1" applyFont="1" applyBorder="1" applyAlignment="1">
      <alignment horizontal="center" vertical="center"/>
    </xf>
    <xf numFmtId="20" fontId="23" fillId="0" borderId="20" xfId="0" applyNumberFormat="1" applyFont="1" applyBorder="1" applyAlignment="1">
      <alignment horizontal="center" vertical="center"/>
    </xf>
    <xf numFmtId="166" fontId="23" fillId="0" borderId="20" xfId="0" applyNumberFormat="1" applyFont="1" applyBorder="1" applyAlignment="1">
      <alignment horizontal="center" vertical="center"/>
    </xf>
    <xf numFmtId="20" fontId="23" fillId="0" borderId="4" xfId="0" applyNumberFormat="1" applyFont="1" applyBorder="1" applyAlignment="1">
      <alignment horizontal="center" vertical="center"/>
    </xf>
    <xf numFmtId="20" fontId="23" fillId="0" borderId="70" xfId="0" applyNumberFormat="1" applyFont="1" applyBorder="1" applyAlignment="1">
      <alignment horizontal="center" vertical="center"/>
    </xf>
    <xf numFmtId="20" fontId="23" fillId="0" borderId="44" xfId="0" applyNumberFormat="1" applyFont="1" applyBorder="1" applyAlignment="1">
      <alignment horizontal="center" vertical="center"/>
    </xf>
    <xf numFmtId="166" fontId="23" fillId="0" borderId="44" xfId="0" applyNumberFormat="1" applyFont="1" applyBorder="1" applyAlignment="1">
      <alignment horizontal="center" vertical="center"/>
    </xf>
    <xf numFmtId="20" fontId="23" fillId="0" borderId="36" xfId="0" applyNumberFormat="1" applyFont="1" applyBorder="1" applyAlignment="1">
      <alignment horizontal="center" vertical="center"/>
    </xf>
    <xf numFmtId="20" fontId="23" fillId="0" borderId="79" xfId="0" applyNumberFormat="1" applyFont="1" applyBorder="1" applyAlignment="1">
      <alignment horizontal="center" vertical="center"/>
    </xf>
    <xf numFmtId="20" fontId="23" fillId="0" borderId="28" xfId="0" applyNumberFormat="1" applyFont="1" applyBorder="1" applyAlignment="1">
      <alignment horizontal="center" vertical="center"/>
    </xf>
    <xf numFmtId="166" fontId="23" fillId="0" borderId="28" xfId="0" applyNumberFormat="1" applyFont="1" applyBorder="1" applyAlignment="1">
      <alignment horizontal="center" vertical="center"/>
    </xf>
    <xf numFmtId="1" fontId="23" fillId="0" borderId="36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10" fontId="25" fillId="0" borderId="3" xfId="1" applyNumberFormat="1" applyFont="1" applyBorder="1" applyAlignment="1">
      <alignment horizontal="center" vertical="center"/>
    </xf>
    <xf numFmtId="0" fontId="22" fillId="0" borderId="0" xfId="3" applyFont="1" applyAlignment="1">
      <alignment vertical="center"/>
    </xf>
    <xf numFmtId="0" fontId="22" fillId="0" borderId="0" xfId="3" applyFont="1"/>
    <xf numFmtId="0" fontId="2" fillId="0" borderId="10" xfId="0" applyFont="1" applyBorder="1" applyAlignment="1">
      <alignment horizontal="center" vertical="center"/>
    </xf>
    <xf numFmtId="164" fontId="23" fillId="0" borderId="3" xfId="0" applyNumberFormat="1" applyFont="1" applyBorder="1" applyAlignment="1">
      <alignment horizontal="center" vertical="center"/>
    </xf>
    <xf numFmtId="164" fontId="23" fillId="0" borderId="10" xfId="0" applyNumberFormat="1" applyFont="1" applyBorder="1" applyAlignment="1">
      <alignment horizontal="center" vertical="center"/>
    </xf>
    <xf numFmtId="164" fontId="23" fillId="0" borderId="12" xfId="0" applyNumberFormat="1" applyFont="1" applyBorder="1" applyAlignment="1">
      <alignment horizontal="center" vertical="center"/>
    </xf>
    <xf numFmtId="164" fontId="23" fillId="0" borderId="13" xfId="0" applyNumberFormat="1" applyFont="1" applyBorder="1" applyAlignment="1">
      <alignment horizontal="center" vertical="center"/>
    </xf>
    <xf numFmtId="0" fontId="23" fillId="0" borderId="66" xfId="0" applyFont="1" applyBorder="1"/>
    <xf numFmtId="0" fontId="23" fillId="0" borderId="57" xfId="0" applyFont="1" applyBorder="1"/>
    <xf numFmtId="0" fontId="23" fillId="0" borderId="64" xfId="0" applyFont="1" applyBorder="1" applyAlignment="1">
      <alignment horizontal="center"/>
    </xf>
    <xf numFmtId="0" fontId="23" fillId="0" borderId="64" xfId="0" applyFont="1" applyBorder="1"/>
    <xf numFmtId="14" fontId="23" fillId="0" borderId="64" xfId="0" applyNumberFormat="1" applyFont="1" applyBorder="1"/>
    <xf numFmtId="0" fontId="19" fillId="0" borderId="65" xfId="0" applyFont="1" applyBorder="1" applyAlignment="1">
      <alignment horizontal="center"/>
    </xf>
    <xf numFmtId="164" fontId="23" fillId="0" borderId="0" xfId="1" applyNumberFormat="1" applyFont="1"/>
    <xf numFmtId="0" fontId="25" fillId="0" borderId="3" xfId="0" applyFont="1" applyBorder="1" applyAlignment="1">
      <alignment horizontal="center"/>
    </xf>
    <xf numFmtId="0" fontId="23" fillId="0" borderId="65" xfId="0" applyFont="1" applyBorder="1"/>
    <xf numFmtId="0" fontId="2" fillId="0" borderId="66" xfId="0" applyFont="1" applyBorder="1"/>
    <xf numFmtId="0" fontId="2" fillId="0" borderId="67" xfId="0" applyFont="1" applyBorder="1"/>
    <xf numFmtId="9" fontId="23" fillId="0" borderId="3" xfId="1" applyFont="1" applyFill="1" applyBorder="1" applyAlignment="1">
      <alignment horizontal="center" vertical="center"/>
    </xf>
    <xf numFmtId="10" fontId="25" fillId="0" borderId="4" xfId="1" applyNumberFormat="1" applyFont="1" applyBorder="1" applyAlignment="1">
      <alignment horizontal="center" vertical="center"/>
    </xf>
    <xf numFmtId="0" fontId="17" fillId="4" borderId="44" xfId="0" applyFont="1" applyFill="1" applyBorder="1" applyAlignment="1">
      <alignment horizontal="center" vertical="center" wrapText="1"/>
    </xf>
    <xf numFmtId="0" fontId="17" fillId="4" borderId="60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9" borderId="34" xfId="0" applyFont="1" applyFill="1" applyBorder="1" applyAlignment="1">
      <alignment horizontal="center" vertical="center" wrapText="1"/>
    </xf>
    <xf numFmtId="164" fontId="23" fillId="0" borderId="13" xfId="1" applyNumberFormat="1" applyFont="1" applyBorder="1" applyAlignment="1">
      <alignment horizontal="center" vertical="center"/>
    </xf>
    <xf numFmtId="164" fontId="23" fillId="0" borderId="10" xfId="1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" fontId="23" fillId="0" borderId="3" xfId="0" applyNumberFormat="1" applyFont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 wrapText="1"/>
    </xf>
    <xf numFmtId="0" fontId="22" fillId="0" borderId="0" xfId="3" applyFont="1" applyAlignment="1">
      <alignment horizontal="center" vertical="center"/>
    </xf>
    <xf numFmtId="164" fontId="18" fillId="0" borderId="3" xfId="0" applyNumberFormat="1" applyFont="1" applyBorder="1" applyAlignment="1">
      <alignment horizontal="center" vertical="center" wrapText="1"/>
    </xf>
    <xf numFmtId="1" fontId="23" fillId="0" borderId="4" xfId="0" applyNumberFormat="1" applyFont="1" applyBorder="1" applyAlignment="1">
      <alignment horizontal="center" vertical="center"/>
    </xf>
    <xf numFmtId="1" fontId="23" fillId="0" borderId="75" xfId="0" applyNumberFormat="1" applyFont="1" applyBorder="1" applyAlignment="1">
      <alignment horizontal="center" vertical="center"/>
    </xf>
    <xf numFmtId="1" fontId="23" fillId="0" borderId="29" xfId="0" applyNumberFormat="1" applyFont="1" applyBorder="1" applyAlignment="1">
      <alignment horizontal="center" vertical="center"/>
    </xf>
    <xf numFmtId="1" fontId="23" fillId="0" borderId="21" xfId="0" applyNumberFormat="1" applyFont="1" applyBorder="1" applyAlignment="1">
      <alignment horizontal="center" vertical="center"/>
    </xf>
    <xf numFmtId="0" fontId="21" fillId="4" borderId="3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23" fillId="0" borderId="0" xfId="0" applyNumberFormat="1" applyFont="1" applyAlignment="1">
      <alignment horizontal="center"/>
    </xf>
    <xf numFmtId="10" fontId="23" fillId="0" borderId="0" xfId="1" applyNumberFormat="1" applyFont="1" applyFill="1" applyBorder="1" applyAlignment="1">
      <alignment horizontal="center" vertical="center"/>
    </xf>
    <xf numFmtId="9" fontId="23" fillId="0" borderId="0" xfId="1" applyFont="1" applyFill="1" applyBorder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0" fontId="23" fillId="0" borderId="57" xfId="0" applyFont="1" applyBorder="1" applyAlignment="1">
      <alignment vertical="center"/>
    </xf>
    <xf numFmtId="0" fontId="20" fillId="0" borderId="3" xfId="0" applyFont="1" applyBorder="1" applyAlignment="1">
      <alignment horizontal="center" vertical="center"/>
    </xf>
    <xf numFmtId="1" fontId="19" fillId="6" borderId="3" xfId="0" applyNumberFormat="1" applyFont="1" applyFill="1" applyBorder="1" applyAlignment="1">
      <alignment horizontal="center" vertical="center"/>
    </xf>
    <xf numFmtId="164" fontId="20" fillId="0" borderId="3" xfId="1" applyNumberFormat="1" applyFont="1" applyBorder="1" applyAlignment="1">
      <alignment horizontal="center" vertical="center"/>
    </xf>
    <xf numFmtId="10" fontId="20" fillId="0" borderId="3" xfId="0" applyNumberFormat="1" applyFont="1" applyBorder="1" applyAlignment="1">
      <alignment horizontal="center" vertical="center"/>
    </xf>
    <xf numFmtId="0" fontId="26" fillId="12" borderId="3" xfId="0" applyFont="1" applyFill="1" applyBorder="1" applyAlignment="1">
      <alignment horizontal="center" vertical="center" wrapText="1"/>
    </xf>
    <xf numFmtId="0" fontId="26" fillId="12" borderId="9" xfId="0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 wrapText="1"/>
    </xf>
    <xf numFmtId="0" fontId="26" fillId="12" borderId="9" xfId="0" applyFont="1" applyFill="1" applyBorder="1" applyAlignment="1">
      <alignment horizontal="center" vertical="center" wrapText="1"/>
    </xf>
    <xf numFmtId="0" fontId="26" fillId="12" borderId="33" xfId="0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vertical="center"/>
    </xf>
    <xf numFmtId="1" fontId="19" fillId="6" borderId="12" xfId="0" applyNumberFormat="1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164" fontId="20" fillId="0" borderId="12" xfId="1" applyNumberFormat="1" applyFont="1" applyBorder="1" applyAlignment="1">
      <alignment horizontal="center" vertical="center"/>
    </xf>
    <xf numFmtId="1" fontId="20" fillId="0" borderId="12" xfId="0" applyNumberFormat="1" applyFont="1" applyBorder="1" applyAlignment="1">
      <alignment horizontal="center" vertical="center"/>
    </xf>
    <xf numFmtId="1" fontId="20" fillId="0" borderId="13" xfId="0" applyNumberFormat="1" applyFont="1" applyBorder="1" applyAlignment="1">
      <alignment horizontal="center" vertical="center"/>
    </xf>
    <xf numFmtId="0" fontId="19" fillId="6" borderId="3" xfId="0" applyFont="1" applyFill="1" applyBorder="1" applyAlignment="1">
      <alignment horizontal="center" vertical="center"/>
    </xf>
    <xf numFmtId="10" fontId="20" fillId="16" borderId="3" xfId="0" applyNumberFormat="1" applyFont="1" applyFill="1" applyBorder="1" applyAlignment="1">
      <alignment horizontal="center" vertical="center"/>
    </xf>
    <xf numFmtId="1" fontId="19" fillId="16" borderId="3" xfId="0" applyNumberFormat="1" applyFont="1" applyFill="1" applyBorder="1" applyAlignment="1">
      <alignment horizontal="center" vertical="center"/>
    </xf>
    <xf numFmtId="1" fontId="20" fillId="16" borderId="10" xfId="0" applyNumberFormat="1" applyFont="1" applyFill="1" applyBorder="1" applyAlignment="1">
      <alignment horizontal="center" vertical="center"/>
    </xf>
    <xf numFmtId="10" fontId="20" fillId="16" borderId="12" xfId="0" applyNumberFormat="1" applyFont="1" applyFill="1" applyBorder="1" applyAlignment="1">
      <alignment horizontal="center" vertical="center"/>
    </xf>
    <xf numFmtId="1" fontId="19" fillId="16" borderId="12" xfId="0" applyNumberFormat="1" applyFont="1" applyFill="1" applyBorder="1" applyAlignment="1">
      <alignment horizontal="center" vertical="center"/>
    </xf>
    <xf numFmtId="1" fontId="20" fillId="16" borderId="13" xfId="0" applyNumberFormat="1" applyFont="1" applyFill="1" applyBorder="1" applyAlignment="1">
      <alignment horizontal="center" vertical="center"/>
    </xf>
    <xf numFmtId="0" fontId="20" fillId="16" borderId="9" xfId="0" applyFont="1" applyFill="1" applyBorder="1" applyAlignment="1">
      <alignment horizontal="center" vertical="center"/>
    </xf>
    <xf numFmtId="0" fontId="20" fillId="16" borderId="3" xfId="0" applyFont="1" applyFill="1" applyBorder="1" applyAlignment="1">
      <alignment horizontal="center" vertical="center"/>
    </xf>
    <xf numFmtId="164" fontId="20" fillId="16" borderId="3" xfId="1" applyNumberFormat="1" applyFont="1" applyFill="1" applyBorder="1" applyAlignment="1">
      <alignment horizontal="center" vertical="center"/>
    </xf>
    <xf numFmtId="0" fontId="2" fillId="16" borderId="0" xfId="0" applyFont="1" applyFill="1" applyAlignment="1">
      <alignment vertical="center" wrapText="1"/>
    </xf>
    <xf numFmtId="1" fontId="20" fillId="0" borderId="3" xfId="0" applyNumberFormat="1" applyFont="1" applyBorder="1" applyAlignment="1">
      <alignment horizontal="center" vertical="center" wrapText="1"/>
    </xf>
    <xf numFmtId="1" fontId="20" fillId="0" borderId="3" xfId="1" applyNumberFormat="1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164" fontId="23" fillId="0" borderId="0" xfId="0" applyNumberFormat="1" applyFont="1" applyAlignment="1">
      <alignment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7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164" fontId="23" fillId="0" borderId="46" xfId="1" applyNumberFormat="1" applyFont="1" applyBorder="1" applyAlignment="1">
      <alignment horizontal="center" vertical="center"/>
    </xf>
    <xf numFmtId="1" fontId="21" fillId="16" borderId="3" xfId="3" applyNumberFormat="1" applyFont="1" applyFill="1" applyBorder="1" applyAlignment="1">
      <alignment horizontal="center" vertical="center"/>
    </xf>
    <xf numFmtId="3" fontId="22" fillId="16" borderId="3" xfId="3" applyNumberFormat="1" applyFont="1" applyFill="1" applyBorder="1" applyAlignment="1">
      <alignment horizontal="center" vertical="center"/>
    </xf>
    <xf numFmtId="0" fontId="0" fillId="16" borderId="0" xfId="0" applyFill="1"/>
    <xf numFmtId="0" fontId="32" fillId="16" borderId="0" xfId="0" applyFont="1" applyFill="1" applyAlignment="1">
      <alignment vertical="center"/>
    </xf>
    <xf numFmtId="0" fontId="23" fillId="16" borderId="0" xfId="0" applyFont="1" applyFill="1"/>
    <xf numFmtId="0" fontId="26" fillId="9" borderId="26" xfId="0" applyFont="1" applyFill="1" applyBorder="1" applyAlignment="1">
      <alignment horizontal="center" vertical="center" wrapText="1"/>
    </xf>
    <xf numFmtId="0" fontId="26" fillId="9" borderId="24" xfId="0" applyFont="1" applyFill="1" applyBorder="1" applyAlignment="1">
      <alignment horizontal="center" vertical="center" wrapText="1"/>
    </xf>
    <xf numFmtId="0" fontId="26" fillId="9" borderId="25" xfId="0" applyFont="1" applyFill="1" applyBorder="1" applyAlignment="1">
      <alignment horizontal="center" vertical="center" wrapText="1"/>
    </xf>
    <xf numFmtId="9" fontId="23" fillId="0" borderId="3" xfId="0" applyNumberFormat="1" applyFont="1" applyBorder="1" applyAlignment="1">
      <alignment horizontal="center" vertical="center"/>
    </xf>
    <xf numFmtId="1" fontId="23" fillId="0" borderId="1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2" fillId="0" borderId="0" xfId="3" applyFont="1" applyBorder="1" applyAlignment="1">
      <alignment vertical="center"/>
    </xf>
    <xf numFmtId="1" fontId="2" fillId="4" borderId="7" xfId="0" applyNumberFormat="1" applyFont="1" applyFill="1" applyBorder="1" applyAlignment="1">
      <alignment horizontal="center" vertical="center" wrapText="1"/>
    </xf>
    <xf numFmtId="1" fontId="2" fillId="4" borderId="8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/>
    </xf>
    <xf numFmtId="1" fontId="21" fillId="16" borderId="10" xfId="3" applyNumberFormat="1" applyFont="1" applyFill="1" applyBorder="1" applyAlignment="1">
      <alignment horizontal="center" vertical="center"/>
    </xf>
    <xf numFmtId="3" fontId="22" fillId="16" borderId="10" xfId="3" applyNumberFormat="1" applyFont="1" applyFill="1" applyBorder="1" applyAlignment="1">
      <alignment horizontal="center" vertical="center"/>
    </xf>
    <xf numFmtId="3" fontId="22" fillId="16" borderId="12" xfId="3" applyNumberFormat="1" applyFont="1" applyFill="1" applyBorder="1" applyAlignment="1">
      <alignment horizontal="center" vertical="center"/>
    </xf>
    <xf numFmtId="3" fontId="22" fillId="16" borderId="13" xfId="3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5" fillId="16" borderId="0" xfId="0" applyFont="1" applyFill="1" applyBorder="1" applyAlignment="1">
      <alignment vertical="center"/>
    </xf>
    <xf numFmtId="0" fontId="25" fillId="0" borderId="64" xfId="0" applyFont="1" applyBorder="1" applyAlignment="1">
      <alignment vertical="center"/>
    </xf>
    <xf numFmtId="0" fontId="25" fillId="0" borderId="0" xfId="0" applyFont="1" applyAlignment="1"/>
    <xf numFmtId="0" fontId="0" fillId="0" borderId="0" xfId="0" applyAlignment="1"/>
    <xf numFmtId="0" fontId="23" fillId="0" borderId="0" xfId="0" applyFont="1" applyAlignment="1"/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/>
    </xf>
    <xf numFmtId="0" fontId="4" fillId="4" borderId="54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19" fillId="0" borderId="4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/>
    </xf>
    <xf numFmtId="0" fontId="0" fillId="0" borderId="62" xfId="0" applyBorder="1"/>
    <xf numFmtId="0" fontId="4" fillId="0" borderId="62" xfId="0" applyFont="1" applyBorder="1" applyAlignment="1">
      <alignment horizontal="center"/>
    </xf>
    <xf numFmtId="0" fontId="4" fillId="0" borderId="40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13" borderId="0" xfId="0" applyFont="1" applyFill="1" applyAlignment="1">
      <alignment horizontal="center"/>
    </xf>
    <xf numFmtId="0" fontId="19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left" vertical="center" indent="2"/>
    </xf>
    <xf numFmtId="0" fontId="23" fillId="0" borderId="34" xfId="0" applyFont="1" applyBorder="1" applyAlignment="1">
      <alignment horizontal="left" vertical="center" indent="2"/>
    </xf>
    <xf numFmtId="0" fontId="2" fillId="0" borderId="88" xfId="0" applyFont="1" applyBorder="1" applyAlignment="1">
      <alignment horizontal="center" vertical="center"/>
    </xf>
    <xf numFmtId="0" fontId="2" fillId="0" borderId="85" xfId="0" applyFont="1" applyBorder="1" applyAlignment="1">
      <alignment horizontal="center" vertical="center"/>
    </xf>
    <xf numFmtId="0" fontId="26" fillId="0" borderId="27" xfId="0" applyFont="1" applyBorder="1" applyAlignment="1">
      <alignment horizontal="left" vertical="center" wrapText="1"/>
    </xf>
    <xf numFmtId="0" fontId="26" fillId="0" borderId="23" xfId="0" applyFont="1" applyBorder="1" applyAlignment="1">
      <alignment horizontal="left" vertical="center" wrapText="1"/>
    </xf>
    <xf numFmtId="0" fontId="2" fillId="11" borderId="86" xfId="0" applyFont="1" applyFill="1" applyBorder="1" applyAlignment="1">
      <alignment horizontal="center" vertical="center"/>
    </xf>
    <xf numFmtId="0" fontId="23" fillId="0" borderId="70" xfId="0" applyFont="1" applyBorder="1" applyAlignment="1">
      <alignment horizontal="left" vertical="center" indent="2"/>
    </xf>
    <xf numFmtId="0" fontId="2" fillId="0" borderId="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11" borderId="83" xfId="0" applyFont="1" applyFill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81" xfId="0" applyFont="1" applyBorder="1" applyAlignment="1">
      <alignment horizontal="center" vertical="center"/>
    </xf>
    <xf numFmtId="0" fontId="2" fillId="0" borderId="8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/>
    </xf>
    <xf numFmtId="0" fontId="23" fillId="0" borderId="69" xfId="0" applyFont="1" applyBorder="1" applyAlignment="1">
      <alignment horizontal="center"/>
    </xf>
    <xf numFmtId="0" fontId="23" fillId="0" borderId="60" xfId="0" applyFont="1" applyBorder="1" applyAlignment="1">
      <alignment horizontal="center"/>
    </xf>
    <xf numFmtId="0" fontId="23" fillId="0" borderId="70" xfId="0" applyFont="1" applyBorder="1" applyAlignment="1">
      <alignment horizontal="center"/>
    </xf>
    <xf numFmtId="0" fontId="23" fillId="0" borderId="44" xfId="0" applyFont="1" applyBorder="1" applyAlignment="1">
      <alignment horizontal="center"/>
    </xf>
    <xf numFmtId="0" fontId="23" fillId="0" borderId="35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57" xfId="0" applyFont="1" applyBorder="1" applyAlignment="1">
      <alignment horizontal="center"/>
    </xf>
    <xf numFmtId="0" fontId="23" fillId="0" borderId="73" xfId="0" applyFont="1" applyBorder="1" applyAlignment="1">
      <alignment horizontal="center"/>
    </xf>
    <xf numFmtId="0" fontId="23" fillId="0" borderId="43" xfId="0" applyFont="1" applyBorder="1" applyAlignment="1">
      <alignment horizontal="center"/>
    </xf>
    <xf numFmtId="0" fontId="23" fillId="0" borderId="83" xfId="0" applyFont="1" applyBorder="1" applyAlignment="1">
      <alignment horizontal="center"/>
    </xf>
    <xf numFmtId="0" fontId="23" fillId="0" borderId="85" xfId="0" applyFont="1" applyBorder="1" applyAlignment="1">
      <alignment horizontal="center"/>
    </xf>
    <xf numFmtId="0" fontId="23" fillId="0" borderId="84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" fillId="11" borderId="83" xfId="0" applyFont="1" applyFill="1" applyBorder="1" applyAlignment="1">
      <alignment horizontal="center"/>
    </xf>
    <xf numFmtId="0" fontId="2" fillId="11" borderId="86" xfId="0" applyFont="1" applyFill="1" applyBorder="1" applyAlignment="1">
      <alignment horizontal="center"/>
    </xf>
    <xf numFmtId="0" fontId="2" fillId="11" borderId="84" xfId="0" applyFont="1" applyFill="1" applyBorder="1" applyAlignment="1">
      <alignment horizontal="center"/>
    </xf>
    <xf numFmtId="0" fontId="23" fillId="0" borderId="54" xfId="0" applyFont="1" applyBorder="1" applyAlignment="1">
      <alignment horizontal="center"/>
    </xf>
    <xf numFmtId="0" fontId="23" fillId="0" borderId="61" xfId="0" applyFont="1" applyBorder="1" applyAlignment="1">
      <alignment horizontal="center"/>
    </xf>
    <xf numFmtId="164" fontId="2" fillId="0" borderId="27" xfId="0" applyNumberFormat="1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/>
    </xf>
    <xf numFmtId="0" fontId="2" fillId="11" borderId="84" xfId="0" applyFont="1" applyFill="1" applyBorder="1" applyAlignment="1">
      <alignment horizontal="center" vertical="center"/>
    </xf>
    <xf numFmtId="0" fontId="26" fillId="0" borderId="89" xfId="0" applyFont="1" applyBorder="1" applyAlignment="1">
      <alignment horizontal="center" vertical="center"/>
    </xf>
    <xf numFmtId="0" fontId="26" fillId="0" borderId="90" xfId="0" applyFont="1" applyBorder="1" applyAlignment="1">
      <alignment horizontal="center" vertical="center"/>
    </xf>
    <xf numFmtId="0" fontId="26" fillId="0" borderId="5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91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5" fillId="0" borderId="91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/>
    </xf>
    <xf numFmtId="0" fontId="2" fillId="15" borderId="3" xfId="0" applyFont="1" applyFill="1" applyBorder="1" applyAlignment="1">
      <alignment horizontal="center" vertical="center"/>
    </xf>
    <xf numFmtId="0" fontId="23" fillId="0" borderId="45" xfId="0" applyFont="1" applyBorder="1" applyAlignment="1">
      <alignment horizontal="center" vertical="center" wrapText="1"/>
    </xf>
    <xf numFmtId="0" fontId="23" fillId="0" borderId="59" xfId="0" applyFont="1" applyBorder="1" applyAlignment="1">
      <alignment horizontal="center" vertical="center" wrapText="1"/>
    </xf>
    <xf numFmtId="0" fontId="23" fillId="0" borderId="58" xfId="0" applyFont="1" applyBorder="1" applyAlignment="1">
      <alignment horizontal="center" vertical="center" wrapText="1"/>
    </xf>
    <xf numFmtId="0" fontId="23" fillId="0" borderId="74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1" fontId="23" fillId="0" borderId="34" xfId="0" applyNumberFormat="1" applyFont="1" applyBorder="1" applyAlignment="1">
      <alignment horizontal="center" vertical="center"/>
    </xf>
    <xf numFmtId="1" fontId="23" fillId="0" borderId="35" xfId="0" applyNumberFormat="1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1" fontId="23" fillId="0" borderId="3" xfId="0" applyNumberFormat="1" applyFont="1" applyBorder="1" applyAlignment="1">
      <alignment horizontal="center" vertical="center"/>
    </xf>
    <xf numFmtId="1" fontId="23" fillId="0" borderId="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" fontId="23" fillId="0" borderId="7" xfId="0" applyNumberFormat="1" applyFont="1" applyBorder="1" applyAlignment="1">
      <alignment horizontal="center" vertical="center"/>
    </xf>
    <xf numFmtId="1" fontId="23" fillId="0" borderId="12" xfId="0" applyNumberFormat="1" applyFont="1" applyBorder="1" applyAlignment="1">
      <alignment horizontal="center" vertical="center"/>
    </xf>
    <xf numFmtId="1" fontId="25" fillId="0" borderId="3" xfId="0" applyNumberFormat="1" applyFont="1" applyBorder="1" applyAlignment="1">
      <alignment horizontal="center" vertical="center"/>
    </xf>
    <xf numFmtId="1" fontId="25" fillId="0" borderId="12" xfId="0" applyNumberFormat="1" applyFont="1" applyBorder="1" applyAlignment="1">
      <alignment horizontal="center" vertical="center"/>
    </xf>
    <xf numFmtId="1" fontId="25" fillId="0" borderId="7" xfId="0" applyNumberFormat="1" applyFont="1" applyBorder="1" applyAlignment="1">
      <alignment horizontal="center" vertical="center"/>
    </xf>
    <xf numFmtId="1" fontId="25" fillId="16" borderId="75" xfId="0" applyNumberFormat="1" applyFont="1" applyFill="1" applyBorder="1" applyAlignment="1">
      <alignment horizontal="center" vertical="center"/>
    </xf>
    <xf numFmtId="1" fontId="25" fillId="16" borderId="29" xfId="0" applyNumberFormat="1" applyFont="1" applyFill="1" applyBorder="1" applyAlignment="1">
      <alignment horizontal="center" vertical="center"/>
    </xf>
    <xf numFmtId="1" fontId="25" fillId="16" borderId="36" xfId="0" applyNumberFormat="1" applyFont="1" applyFill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1" fontId="25" fillId="16" borderId="77" xfId="0" applyNumberFormat="1" applyFont="1" applyFill="1" applyBorder="1" applyAlignment="1">
      <alignment horizontal="center" vertical="center"/>
    </xf>
    <xf numFmtId="1" fontId="25" fillId="16" borderId="56" xfId="0" applyNumberFormat="1" applyFont="1" applyFill="1" applyBorder="1" applyAlignment="1">
      <alignment horizontal="center" vertical="center"/>
    </xf>
    <xf numFmtId="1" fontId="25" fillId="16" borderId="37" xfId="0" applyNumberFormat="1" applyFont="1" applyFill="1" applyBorder="1" applyAlignment="1">
      <alignment horizontal="center" vertical="center"/>
    </xf>
    <xf numFmtId="1" fontId="25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" fontId="25" fillId="0" borderId="29" xfId="0" applyNumberFormat="1" applyFont="1" applyBorder="1" applyAlignment="1">
      <alignment horizontal="center" vertical="center"/>
    </xf>
    <xf numFmtId="1" fontId="25" fillId="0" borderId="36" xfId="0" applyNumberFormat="1" applyFont="1" applyBorder="1" applyAlignment="1">
      <alignment horizontal="center" vertical="center"/>
    </xf>
    <xf numFmtId="1" fontId="25" fillId="0" borderId="70" xfId="0" applyNumberFormat="1" applyFont="1" applyBorder="1" applyAlignment="1">
      <alignment horizontal="center" vertical="center"/>
    </xf>
    <xf numFmtId="1" fontId="25" fillId="0" borderId="69" xfId="0" applyNumberFormat="1" applyFont="1" applyBorder="1" applyAlignment="1">
      <alignment horizontal="center" vertical="center"/>
    </xf>
    <xf numFmtId="1" fontId="25" fillId="0" borderId="79" xfId="0" applyNumberFormat="1" applyFont="1" applyBorder="1" applyAlignment="1">
      <alignment horizontal="center" vertical="center"/>
    </xf>
    <xf numFmtId="1" fontId="25" fillId="0" borderId="75" xfId="0" applyNumberFormat="1" applyFont="1" applyBorder="1" applyAlignment="1">
      <alignment horizontal="center" vertical="center"/>
    </xf>
    <xf numFmtId="1" fontId="25" fillId="0" borderId="21" xfId="0" applyNumberFormat="1" applyFont="1" applyBorder="1" applyAlignment="1">
      <alignment horizontal="center" vertical="center"/>
    </xf>
    <xf numFmtId="1" fontId="25" fillId="0" borderId="78" xfId="0" applyNumberFormat="1" applyFont="1" applyBorder="1" applyAlignment="1">
      <alignment horizontal="center" vertical="center"/>
    </xf>
    <xf numFmtId="1" fontId="25" fillId="0" borderId="5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/>
    </xf>
    <xf numFmtId="0" fontId="2" fillId="9" borderId="7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63" xfId="0" applyFont="1" applyFill="1" applyBorder="1" applyAlignment="1">
      <alignment horizontal="center" vertical="center"/>
    </xf>
    <xf numFmtId="0" fontId="2" fillId="9" borderId="64" xfId="0" applyFont="1" applyFill="1" applyBorder="1" applyAlignment="1">
      <alignment horizontal="center" vertical="center"/>
    </xf>
    <xf numFmtId="0" fontId="2" fillId="9" borderId="65" xfId="0" applyFont="1" applyFill="1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/>
    </xf>
    <xf numFmtId="0" fontId="2" fillId="9" borderId="32" xfId="0" applyFont="1" applyFill="1" applyBorder="1" applyAlignment="1">
      <alignment horizontal="center" vertical="center"/>
    </xf>
    <xf numFmtId="0" fontId="2" fillId="9" borderId="71" xfId="0" applyFont="1" applyFill="1" applyBorder="1" applyAlignment="1">
      <alignment horizontal="center" vertical="center"/>
    </xf>
    <xf numFmtId="1" fontId="2" fillId="16" borderId="3" xfId="0" applyNumberFormat="1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 vertical="center" wrapText="1"/>
    </xf>
    <xf numFmtId="0" fontId="2" fillId="0" borderId="83" xfId="0" applyFont="1" applyBorder="1" applyAlignment="1">
      <alignment horizontal="center" vertical="center"/>
    </xf>
    <xf numFmtId="0" fontId="2" fillId="0" borderId="86" xfId="0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1" fontId="2" fillId="16" borderId="77" xfId="0" applyNumberFormat="1" applyFont="1" applyFill="1" applyBorder="1" applyAlignment="1">
      <alignment horizontal="center" vertical="center"/>
    </xf>
    <xf numFmtId="1" fontId="2" fillId="16" borderId="56" xfId="0" applyNumberFormat="1" applyFont="1" applyFill="1" applyBorder="1" applyAlignment="1">
      <alignment horizontal="center" vertical="center"/>
    </xf>
    <xf numFmtId="1" fontId="2" fillId="16" borderId="37" xfId="0" applyNumberFormat="1" applyFont="1" applyFill="1" applyBorder="1" applyAlignment="1">
      <alignment horizontal="center" vertical="center"/>
    </xf>
    <xf numFmtId="1" fontId="23" fillId="0" borderId="75" xfId="0" applyNumberFormat="1" applyFont="1" applyBorder="1" applyAlignment="1">
      <alignment horizontal="center" vertical="center"/>
    </xf>
    <xf numFmtId="1" fontId="23" fillId="0" borderId="29" xfId="0" applyNumberFormat="1" applyFont="1" applyBorder="1" applyAlignment="1">
      <alignment horizontal="center" vertical="center"/>
    </xf>
    <xf numFmtId="1" fontId="23" fillId="0" borderId="2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15" borderId="34" xfId="0" applyFont="1" applyFill="1" applyBorder="1" applyAlignment="1">
      <alignment horizontal="center" vertical="center"/>
    </xf>
    <xf numFmtId="0" fontId="2" fillId="15" borderId="54" xfId="0" applyFont="1" applyFill="1" applyBorder="1" applyAlignment="1">
      <alignment horizontal="center" vertical="center"/>
    </xf>
    <xf numFmtId="0" fontId="2" fillId="15" borderId="15" xfId="0" applyFont="1" applyFill="1" applyBorder="1" applyAlignment="1">
      <alignment horizontal="center" vertical="center"/>
    </xf>
    <xf numFmtId="0" fontId="21" fillId="4" borderId="34" xfId="0" applyFont="1" applyFill="1" applyBorder="1" applyAlignment="1">
      <alignment horizontal="center" vertical="center" wrapText="1"/>
    </xf>
    <xf numFmtId="0" fontId="21" fillId="4" borderId="15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1" fontId="23" fillId="0" borderId="9" xfId="0" applyNumberFormat="1" applyFont="1" applyBorder="1" applyAlignment="1">
      <alignment horizontal="center" vertical="center"/>
    </xf>
    <xf numFmtId="1" fontId="23" fillId="0" borderId="11" xfId="0" applyNumberFormat="1" applyFont="1" applyBorder="1" applyAlignment="1">
      <alignment horizontal="center" vertical="center"/>
    </xf>
    <xf numFmtId="0" fontId="31" fillId="10" borderId="0" xfId="0" applyFont="1" applyFill="1" applyAlignment="1">
      <alignment horizontal="center" vertical="center"/>
    </xf>
    <xf numFmtId="0" fontId="32" fillId="14" borderId="32" xfId="0" applyFont="1" applyFill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5" xfId="0" applyBorder="1"/>
    <xf numFmtId="0" fontId="0" fillId="0" borderId="21" xfId="0" applyBorder="1"/>
  </cellXfs>
  <cellStyles count="4">
    <cellStyle name="Normal" xfId="0" builtinId="0"/>
    <cellStyle name="Normal 2" xfId="3"/>
    <cellStyle name="Normal 9" xfId="2"/>
    <cellStyle name="Porcentual" xfId="1" builtinId="5"/>
  </cellStyles>
  <dxfs count="0"/>
  <tableStyles count="0" defaultTableStyle="TableStyleMedium2" defaultPivotStyle="PivotStyleLight16"/>
  <colors>
    <mruColors>
      <color rgb="FFFF5050"/>
      <color rgb="FFF2F64C"/>
      <color rgb="FFFFEDB9"/>
      <color rgb="FFBD3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/>
            </a:pPr>
            <a:r>
              <a:rPr lang="es-ES" sz="1400"/>
              <a:t>TMDA histórico</a:t>
            </a:r>
          </a:p>
        </c:rich>
      </c:tx>
    </c:title>
    <c:plotArea>
      <c:layout>
        <c:manualLayout>
          <c:layoutTarget val="inner"/>
          <c:xMode val="edge"/>
          <c:yMode val="edge"/>
          <c:x val="9.3476241974932595E-2"/>
          <c:y val="9.7163150449650335E-2"/>
          <c:w val="0.71765668825305162"/>
          <c:h val="0.71896521168554706"/>
        </c:manualLayout>
      </c:layout>
      <c:lineChart>
        <c:grouping val="standard"/>
        <c:ser>
          <c:idx val="0"/>
          <c:order val="0"/>
          <c:tx>
            <c:strRef>
              <c:f>'RN12'!$AG$4</c:f>
              <c:strCache>
                <c:ptCount val="1"/>
                <c:pt idx="0">
                  <c:v>RN12 al Este (Cobertura)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FFC000"/>
                </a:solidFill>
              </a:ln>
              <a:effectLst/>
            </c:spPr>
          </c:marker>
          <c:cat>
            <c:numRef>
              <c:f>'RN12'!$O$3:$AF$3</c:f>
              <c:numCache>
                <c:formatCode>#,##0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'RN12'!$O$4:$AF$4</c:f>
              <c:numCache>
                <c:formatCode>#,##0</c:formatCode>
                <c:ptCount val="18"/>
                <c:pt idx="0">
                  <c:v>2800</c:v>
                </c:pt>
                <c:pt idx="1">
                  <c:v>3050</c:v>
                </c:pt>
                <c:pt idx="2">
                  <c:v>3150</c:v>
                </c:pt>
                <c:pt idx="3">
                  <c:v>3200</c:v>
                </c:pt>
                <c:pt idx="4">
                  <c:v>3250</c:v>
                </c:pt>
                <c:pt idx="5">
                  <c:v>3450</c:v>
                </c:pt>
                <c:pt idx="6">
                  <c:v>4200</c:v>
                </c:pt>
                <c:pt idx="7">
                  <c:v>4300</c:v>
                </c:pt>
                <c:pt idx="8">
                  <c:v>4300</c:v>
                </c:pt>
                <c:pt idx="9">
                  <c:v>4400</c:v>
                </c:pt>
                <c:pt idx="10">
                  <c:v>4300</c:v>
                </c:pt>
                <c:pt idx="11">
                  <c:v>4400</c:v>
                </c:pt>
                <c:pt idx="12">
                  <c:v>4140</c:v>
                </c:pt>
                <c:pt idx="13">
                  <c:v>4050</c:v>
                </c:pt>
                <c:pt idx="14">
                  <c:v>2850</c:v>
                </c:pt>
                <c:pt idx="15">
                  <c:v>3900</c:v>
                </c:pt>
                <c:pt idx="16">
                  <c:v>4300</c:v>
                </c:pt>
                <c:pt idx="17">
                  <c:v>4400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366-4F8B-9E86-6717252698F7}"/>
            </c:ext>
          </c:extLst>
        </c:ser>
        <c:ser>
          <c:idx val="1"/>
          <c:order val="1"/>
          <c:tx>
            <c:strRef>
              <c:f>'RN12'!$AG$5</c:f>
              <c:strCache>
                <c:ptCount val="1"/>
                <c:pt idx="0">
                  <c:v>RN12 al Oeste (Permanente)</c:v>
                </c:pt>
              </c:strCache>
            </c:strRef>
          </c:tx>
          <c:spPr>
            <a:ln w="28575" cap="rnd">
              <a:solidFill>
                <a:srgbClr val="BD3EE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rgbClr val="BD3EE0"/>
                </a:solidFill>
              </a:ln>
              <a:effectLst/>
            </c:spPr>
          </c:marker>
          <c:cat>
            <c:numRef>
              <c:f>'RN12'!$O$3:$AF$3</c:f>
              <c:numCache>
                <c:formatCode>#,##0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'RN12'!$O$5:$AF$5</c:f>
              <c:numCache>
                <c:formatCode>#,##0</c:formatCode>
                <c:ptCount val="18"/>
                <c:pt idx="0">
                  <c:v>2267</c:v>
                </c:pt>
                <c:pt idx="1">
                  <c:v>2459</c:v>
                </c:pt>
                <c:pt idx="2">
                  <c:v>2560</c:v>
                </c:pt>
                <c:pt idx="3">
                  <c:v>2616</c:v>
                </c:pt>
                <c:pt idx="4">
                  <c:v>2778</c:v>
                </c:pt>
                <c:pt idx="5">
                  <c:v>2929</c:v>
                </c:pt>
                <c:pt idx="6">
                  <c:v>3072</c:v>
                </c:pt>
                <c:pt idx="7">
                  <c:v>3385</c:v>
                </c:pt>
                <c:pt idx="8">
                  <c:v>3114</c:v>
                </c:pt>
                <c:pt idx="9">
                  <c:v>3175</c:v>
                </c:pt>
                <c:pt idx="10">
                  <c:v>3099</c:v>
                </c:pt>
                <c:pt idx="11">
                  <c:v>3174</c:v>
                </c:pt>
                <c:pt idx="12">
                  <c:v>3046</c:v>
                </c:pt>
                <c:pt idx="13">
                  <c:v>2989</c:v>
                </c:pt>
                <c:pt idx="14">
                  <c:v>2099</c:v>
                </c:pt>
                <c:pt idx="15">
                  <c:v>2885</c:v>
                </c:pt>
                <c:pt idx="16">
                  <c:v>3163</c:v>
                </c:pt>
                <c:pt idx="17">
                  <c:v>3251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366-4F8B-9E86-6717252698F7}"/>
            </c:ext>
          </c:extLst>
        </c:ser>
        <c:marker val="1"/>
        <c:axId val="123980800"/>
        <c:axId val="125113472"/>
      </c:lineChart>
      <c:catAx>
        <c:axId val="123980800"/>
        <c:scaling>
          <c:orientation val="minMax"/>
        </c:scaling>
        <c:axPos val="b"/>
        <c:numFmt formatCode="#,##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vert="horz"/>
          <a:lstStyle/>
          <a:p>
            <a:pPr>
              <a:defRPr sz="1200"/>
            </a:pPr>
            <a:endParaRPr lang="es-ES"/>
          </a:p>
        </c:txPr>
        <c:crossAx val="125113472"/>
        <c:crosses val="autoZero"/>
        <c:auto val="1"/>
        <c:lblAlgn val="ctr"/>
        <c:lblOffset val="100"/>
        <c:tickLblSkip val="1"/>
        <c:tickMarkSkip val="1"/>
      </c:catAx>
      <c:valAx>
        <c:axId val="125113472"/>
        <c:scaling>
          <c:orientation val="minMax"/>
          <c:min val="200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s-ES" sz="1200"/>
                  <a:t>TMDA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tickLblPos val="nextTo"/>
        <c:spPr>
          <a:noFill/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23980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114752894071651"/>
          <c:y val="0.28208930705181295"/>
          <c:w val="0.1690925342263554"/>
          <c:h val="0.42422131999918017"/>
        </c:manualLayout>
      </c:layout>
      <c:spPr>
        <a:noFill/>
        <a:ln>
          <a:noFill/>
        </a:ln>
        <a:effectLst/>
      </c:spPr>
      <c:txPr>
        <a:bodyPr rot="0" vert="horz"/>
        <a:lstStyle/>
        <a:p>
          <a:pPr>
            <a:defRPr sz="1200"/>
          </a:pPr>
          <a:endParaRPr lang="es-E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 u="sng"/>
              <a:t>TMDA HISTORICO - Estaciones permanentes</a:t>
            </a:r>
          </a:p>
        </c:rich>
      </c:tx>
      <c:layout>
        <c:manualLayout>
          <c:xMode val="edge"/>
          <c:yMode val="edge"/>
          <c:x val="0.29138671035032754"/>
          <c:y val="1.2254456553448558E-2"/>
        </c:manualLayout>
      </c:layout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4.1890325968713234E-2"/>
          <c:y val="0.10605227447132311"/>
          <c:w val="0.8338202476449964"/>
          <c:h val="0.7648916921858564"/>
        </c:manualLayout>
      </c:layout>
      <c:lineChart>
        <c:grouping val="standard"/>
        <c:ser>
          <c:idx val="0"/>
          <c:order val="0"/>
          <c:tx>
            <c:strRef>
              <c:f>'RN12'!$M$30:$N$30</c:f>
              <c:strCache>
                <c:ptCount val="1"/>
                <c:pt idx="0">
                  <c:v>1 NOGOYA - INT.R.N.131 (I)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'RN12'!$O$29:$AF$29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'RN12'!$O$30:$AF$30</c:f>
              <c:numCache>
                <c:formatCode>#,##0</c:formatCode>
                <c:ptCount val="18"/>
                <c:pt idx="0">
                  <c:v>2267</c:v>
                </c:pt>
                <c:pt idx="1">
                  <c:v>2459</c:v>
                </c:pt>
                <c:pt idx="2">
                  <c:v>2560</c:v>
                </c:pt>
                <c:pt idx="3">
                  <c:v>2616</c:v>
                </c:pt>
                <c:pt idx="4">
                  <c:v>2778</c:v>
                </c:pt>
                <c:pt idx="5">
                  <c:v>2929</c:v>
                </c:pt>
                <c:pt idx="6">
                  <c:v>3072</c:v>
                </c:pt>
                <c:pt idx="7">
                  <c:v>3385</c:v>
                </c:pt>
                <c:pt idx="8">
                  <c:v>3114</c:v>
                </c:pt>
                <c:pt idx="9">
                  <c:v>3175</c:v>
                </c:pt>
                <c:pt idx="10">
                  <c:v>3099</c:v>
                </c:pt>
                <c:pt idx="11">
                  <c:v>3174</c:v>
                </c:pt>
                <c:pt idx="12">
                  <c:v>3046</c:v>
                </c:pt>
                <c:pt idx="13">
                  <c:v>2989</c:v>
                </c:pt>
                <c:pt idx="14">
                  <c:v>2099</c:v>
                </c:pt>
                <c:pt idx="15">
                  <c:v>2885</c:v>
                </c:pt>
                <c:pt idx="16">
                  <c:v>3163</c:v>
                </c:pt>
                <c:pt idx="17">
                  <c:v>3251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7E-4E27-AAC6-5363DBFA362F}"/>
            </c:ext>
          </c:extLst>
        </c:ser>
        <c:marker val="1"/>
        <c:axId val="92925952"/>
        <c:axId val="92927488"/>
      </c:lineChart>
      <c:catAx>
        <c:axId val="929259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200" b="1"/>
                  <a:t>AÑO</a:t>
                </a:r>
              </a:p>
            </c:rich>
          </c:tx>
          <c:layout>
            <c:manualLayout>
              <c:xMode val="edge"/>
              <c:yMode val="edge"/>
              <c:x val="0.40778038149998336"/>
              <c:y val="0.95373942651073396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927488"/>
        <c:crosses val="autoZero"/>
        <c:auto val="1"/>
        <c:lblAlgn val="ctr"/>
        <c:lblOffset val="100"/>
      </c:catAx>
      <c:valAx>
        <c:axId val="929274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200" b="1"/>
                  <a:t>TMDA</a:t>
                </a:r>
              </a:p>
            </c:rich>
          </c:tx>
          <c:layout>
            <c:manualLayout>
              <c:xMode val="edge"/>
              <c:yMode val="edge"/>
              <c:x val="3.3619376874644388E-3"/>
              <c:y val="0.45149872646927242"/>
            </c:manualLayout>
          </c:layout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925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Variación interanual media del tránsito del corredor RN12. 2006-2023</a:t>
            </a:r>
          </a:p>
        </c:rich>
      </c:tx>
      <c:layout>
        <c:manualLayout>
          <c:xMode val="edge"/>
          <c:yMode val="edge"/>
          <c:x val="0.15558570917332729"/>
          <c:y val="3.1425343261276092E-2"/>
        </c:manualLayout>
      </c:layout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2513518036552079"/>
          <c:y val="0.10289291053591652"/>
          <c:w val="0.85343147495195826"/>
          <c:h val="0.79249890437075066"/>
        </c:manualLayout>
      </c:layout>
      <c:barChart>
        <c:barDir val="col"/>
        <c:grouping val="clustered"/>
        <c:ser>
          <c:idx val="0"/>
          <c:order val="0"/>
          <c:tx>
            <c:strRef>
              <c:f>'RN12'!$N$47:$AE$47</c:f>
              <c:strCache>
                <c:ptCount val="1"/>
                <c:pt idx="0">
                  <c:v>Var. tránsito</c:v>
                </c:pt>
              </c:strCache>
            </c:strRef>
          </c:tx>
          <c:spPr>
            <a:solidFill>
              <a:srgbClr val="00B050"/>
            </a:solidFill>
          </c:spPr>
          <c:dPt>
            <c:idx val="1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692D-4FB4-88FE-6D3E6898C2CE}"/>
              </c:ext>
            </c:extLst>
          </c:dPt>
          <c:dPt>
            <c:idx val="2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3E6-4F48-AD08-756301191E14}"/>
              </c:ext>
            </c:extLst>
          </c:dPt>
          <c:dPt>
            <c:idx val="7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692D-4FB4-88FE-6D3E6898C2CE}"/>
              </c:ext>
            </c:extLst>
          </c:dPt>
          <c:dPt>
            <c:idx val="11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73E6-4F48-AD08-756301191E14}"/>
              </c:ext>
            </c:extLst>
          </c:dPt>
          <c:dPt>
            <c:idx val="12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73E6-4F48-AD08-756301191E14}"/>
              </c:ext>
            </c:extLst>
          </c:dPt>
          <c:dPt>
            <c:idx val="13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73E6-4F48-AD08-756301191E14}"/>
              </c:ext>
            </c:extLst>
          </c:dPt>
          <c:dPt>
            <c:idx val="16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92D-4FB4-88FE-6D3E6898C2CE}"/>
              </c:ext>
            </c:extLst>
          </c:dPt>
          <c:dLbls>
            <c:dLbl>
              <c:idx val="12"/>
              <c:layout>
                <c:manualLayout>
                  <c:x val="2.5988217310608352E-2"/>
                  <c:y val="7.5798786196265164E-2"/>
                </c:manualLayout>
              </c:layout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3E6-4F48-AD08-756301191E14}"/>
                </c:ext>
              </c:extLst>
            </c:dLbl>
            <c:dLbl>
              <c:idx val="13"/>
              <c:layout>
                <c:manualLayout>
                  <c:x val="-2.6078808502244026E-2"/>
                  <c:y val="9.4872464491465705E-2"/>
                </c:manualLayout>
              </c:layout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3E6-4F48-AD08-756301191E14}"/>
                </c:ext>
              </c:extLst>
            </c:dLbl>
            <c:dLbl>
              <c:idx val="14"/>
              <c:layout>
                <c:manualLayout>
                  <c:x val="2.485081619568983E-2"/>
                  <c:y val="4.20234350407565E-2"/>
                </c:manualLayout>
              </c:layout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8C7-47A9-89B6-E96A460504F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-5400000"/>
              <a:lstStyle/>
              <a:p>
                <a:pPr>
                  <a:defRPr/>
                </a:pPr>
                <a:endParaRPr lang="es-E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7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  <c:pt idx="15">
                <c:v>2022</c:v>
              </c:pt>
              <c:pt idx="16">
                <c:v>2023</c:v>
              </c:pt>
            </c:numLit>
          </c:cat>
          <c:val>
            <c:numRef>
              <c:f>'RN12'!$O$50:$AE$50</c:f>
              <c:numCache>
                <c:formatCode>0.0%</c:formatCode>
                <c:ptCount val="17"/>
                <c:pt idx="0">
                  <c:v>8.698957086142789E-2</c:v>
                </c:pt>
                <c:pt idx="1">
                  <c:v>3.6930246201641315E-2</c:v>
                </c:pt>
                <c:pt idx="2">
                  <c:v>1.8874007936507953E-2</c:v>
                </c:pt>
                <c:pt idx="3">
                  <c:v>3.8775802752293531E-2</c:v>
                </c:pt>
                <c:pt idx="4">
                  <c:v>5.7947056543168896E-2</c:v>
                </c:pt>
                <c:pt idx="5">
                  <c:v>0.13310671396974783</c:v>
                </c:pt>
                <c:pt idx="6">
                  <c:v>6.2848772321428492E-2</c:v>
                </c:pt>
                <c:pt idx="7">
                  <c:v>-4.0029542097488935E-2</c:v>
                </c:pt>
                <c:pt idx="8">
                  <c:v>2.1422383534226541E-2</c:v>
                </c:pt>
                <c:pt idx="9">
                  <c:v>-2.3332140300644233E-2</c:v>
                </c:pt>
                <c:pt idx="10">
                  <c:v>2.3728584614691961E-2</c:v>
                </c:pt>
                <c:pt idx="11">
                  <c:v>-4.9709285673368853E-2</c:v>
                </c:pt>
                <c:pt idx="12">
                  <c:v>-2.0226098375631607E-2</c:v>
                </c:pt>
                <c:pt idx="13">
                  <c:v>-0.29702737196882395</c:v>
                </c:pt>
                <c:pt idx="14">
                  <c:v>0.37144254156114442</c:v>
                </c:pt>
                <c:pt idx="15">
                  <c:v>9.946229391636674E-2</c:v>
                </c:pt>
                <c:pt idx="16">
                  <c:v>2.5538751112058833E-2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2-73E6-4F48-AD08-756301191E14}"/>
            </c:ext>
          </c:extLst>
        </c:ser>
        <c:axId val="101713408"/>
        <c:axId val="101714944"/>
      </c:barChart>
      <c:catAx>
        <c:axId val="10171340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/>
          <a:lstStyle/>
          <a:p>
            <a:pPr>
              <a:defRPr/>
            </a:pPr>
            <a:endParaRPr lang="es-ES"/>
          </a:p>
        </c:txPr>
        <c:crossAx val="101714944"/>
        <c:crosses val="autoZero"/>
        <c:lblAlgn val="ctr"/>
        <c:lblOffset val="100"/>
        <c:tickLblSkip val="1"/>
        <c:tickMarkSkip val="1"/>
        <c:noMultiLvlLbl val="1"/>
      </c:catAx>
      <c:valAx>
        <c:axId val="1017149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es-ES"/>
          </a:p>
        </c:txPr>
        <c:crossAx val="101713408"/>
        <c:crossesAt val="1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</c:dTable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AR" sz="1800" b="1"/>
              <a:t>Composición Vehicular </a:t>
            </a:r>
          </a:p>
        </c:rich>
      </c:tx>
      <c:layout>
        <c:manualLayout>
          <c:xMode val="edge"/>
          <c:yMode val="edge"/>
          <c:x val="0.4632559376749793"/>
          <c:y val="1.505590839685004E-2"/>
        </c:manualLayout>
      </c:layout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34174423034875184"/>
          <c:y val="1.838065604243793E-2"/>
          <c:w val="0.58897325716839499"/>
          <c:h val="0.82924827066371642"/>
        </c:manualLayout>
      </c:layout>
      <c:barChart>
        <c:barDir val="col"/>
        <c:grouping val="clustered"/>
        <c:ser>
          <c:idx val="0"/>
          <c:order val="0"/>
          <c:tx>
            <c:strRef>
              <c:f>'Tabla TMDA y Clasif. Informe'!$I$4</c:f>
              <c:strCache>
                <c:ptCount val="1"/>
                <c:pt idx="0">
                  <c:v>ACC.A NOGOYA (I) - INT.R.N.131 (I)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elete val="1"/>
          </c:dLbls>
          <c:cat>
            <c:strRef>
              <c:f>'Tabla TMDA y Clasif. Informe'!$O$3:$Z$3</c:f>
              <c:strCache>
                <c:ptCount val="12"/>
                <c:pt idx="0">
                  <c:v>LIV</c:v>
                </c:pt>
                <c:pt idx="1">
                  <c:v>BU1</c:v>
                </c:pt>
                <c:pt idx="2">
                  <c:v>BU2</c:v>
                </c:pt>
                <c:pt idx="3">
                  <c:v>SA1</c:v>
                </c:pt>
                <c:pt idx="4">
                  <c:v>SA2</c:v>
                </c:pt>
                <c:pt idx="5">
                  <c:v>CA1</c:v>
                </c:pt>
                <c:pt idx="6">
                  <c:v>CA2</c:v>
                </c:pt>
                <c:pt idx="7">
                  <c:v>CA3</c:v>
                </c:pt>
                <c:pt idx="8">
                  <c:v>SE1</c:v>
                </c:pt>
                <c:pt idx="9">
                  <c:v>SE2</c:v>
                </c:pt>
                <c:pt idx="10">
                  <c:v>SE3</c:v>
                </c:pt>
                <c:pt idx="11">
                  <c:v>SE4</c:v>
                </c:pt>
              </c:strCache>
            </c:strRef>
          </c:cat>
          <c:val>
            <c:numRef>
              <c:f>'Tabla TMDA y Clasif. Informe'!$O$4:$Z$4</c:f>
              <c:numCache>
                <c:formatCode>0.0%</c:formatCode>
                <c:ptCount val="12"/>
                <c:pt idx="0">
                  <c:v>0.75800000000000001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7.1999999999999995E-2</c:v>
                </c:pt>
                <c:pt idx="4">
                  <c:v>8.0000000000000002E-3</c:v>
                </c:pt>
                <c:pt idx="5">
                  <c:v>8.0000000000000002E-3</c:v>
                </c:pt>
                <c:pt idx="6">
                  <c:v>5.1999999999999998E-2</c:v>
                </c:pt>
                <c:pt idx="7">
                  <c:v>1.9E-2</c:v>
                </c:pt>
                <c:pt idx="8">
                  <c:v>4.0000000000000001E-3</c:v>
                </c:pt>
                <c:pt idx="9">
                  <c:v>3.7999999999999999E-2</c:v>
                </c:pt>
                <c:pt idx="10">
                  <c:v>2.5999999999999999E-2</c:v>
                </c:pt>
                <c:pt idx="11">
                  <c:v>4.0000000000000001E-3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1E-4ED0-8484-49F79D56FBA4}"/>
            </c:ext>
          </c:extLst>
        </c:ser>
        <c:ser>
          <c:idx val="1"/>
          <c:order val="1"/>
          <c:tx>
            <c:strRef>
              <c:f>'Tabla TMDA y Clasif. Informe'!$I$5</c:f>
              <c:strCache>
                <c:ptCount val="1"/>
                <c:pt idx="0">
                  <c:v>INT.R.P.39 (D) - ACC.A NOGOYA (I)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dLbls>
            <c:delete val="1"/>
          </c:dLbls>
          <c:cat>
            <c:strRef>
              <c:f>'Tabla TMDA y Clasif. Informe'!$O$3:$Z$3</c:f>
              <c:strCache>
                <c:ptCount val="12"/>
                <c:pt idx="0">
                  <c:v>LIV</c:v>
                </c:pt>
                <c:pt idx="1">
                  <c:v>BU1</c:v>
                </c:pt>
                <c:pt idx="2">
                  <c:v>BU2</c:v>
                </c:pt>
                <c:pt idx="3">
                  <c:v>SA1</c:v>
                </c:pt>
                <c:pt idx="4">
                  <c:v>SA2</c:v>
                </c:pt>
                <c:pt idx="5">
                  <c:v>CA1</c:v>
                </c:pt>
                <c:pt idx="6">
                  <c:v>CA2</c:v>
                </c:pt>
                <c:pt idx="7">
                  <c:v>CA3</c:v>
                </c:pt>
                <c:pt idx="8">
                  <c:v>SE1</c:v>
                </c:pt>
                <c:pt idx="9">
                  <c:v>SE2</c:v>
                </c:pt>
                <c:pt idx="10">
                  <c:v>SE3</c:v>
                </c:pt>
                <c:pt idx="11">
                  <c:v>SE4</c:v>
                </c:pt>
              </c:strCache>
            </c:strRef>
          </c:cat>
          <c:val>
            <c:numRef>
              <c:f>'Tabla TMDA y Clasif. Informe'!$O$5:$Z$5</c:f>
              <c:numCache>
                <c:formatCode>0.0%</c:formatCode>
                <c:ptCount val="12"/>
                <c:pt idx="0">
                  <c:v>0.63100000000000001</c:v>
                </c:pt>
                <c:pt idx="1">
                  <c:v>3.0000000000000001E-3</c:v>
                </c:pt>
                <c:pt idx="2">
                  <c:v>1.4E-2</c:v>
                </c:pt>
                <c:pt idx="3">
                  <c:v>5.8000000000000003E-2</c:v>
                </c:pt>
                <c:pt idx="4">
                  <c:v>8.0000000000000002E-3</c:v>
                </c:pt>
                <c:pt idx="5">
                  <c:v>1.6E-2</c:v>
                </c:pt>
                <c:pt idx="6">
                  <c:v>0.11</c:v>
                </c:pt>
                <c:pt idx="7">
                  <c:v>1E-3</c:v>
                </c:pt>
                <c:pt idx="8">
                  <c:v>8.9999999999999993E-3</c:v>
                </c:pt>
                <c:pt idx="9">
                  <c:v>7.1999999999999995E-2</c:v>
                </c:pt>
                <c:pt idx="10">
                  <c:v>7.0999999999999994E-2</c:v>
                </c:pt>
                <c:pt idx="11">
                  <c:v>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1E-4ED0-8484-49F79D56FBA4}"/>
            </c:ext>
          </c:extLst>
        </c:ser>
        <c:dLbls>
          <c:showVal val="1"/>
        </c:dLbls>
        <c:gapWidth val="100"/>
        <c:overlap val="-80"/>
        <c:axId val="123873536"/>
        <c:axId val="123895808"/>
      </c:barChart>
      <c:catAx>
        <c:axId val="12387353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23895808"/>
        <c:crosses val="autoZero"/>
        <c:auto val="1"/>
        <c:lblAlgn val="ctr"/>
        <c:lblOffset val="100"/>
      </c:catAx>
      <c:valAx>
        <c:axId val="1238958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12387353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</c:dTable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312166</xdr:colOff>
      <xdr:row>6</xdr:row>
      <xdr:rowOff>190499</xdr:rowOff>
    </xdr:from>
    <xdr:to>
      <xdr:col>28</xdr:col>
      <xdr:colOff>235323</xdr:colOff>
      <xdr:row>26</xdr:row>
      <xdr:rowOff>112058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102098</xdr:colOff>
      <xdr:row>30</xdr:row>
      <xdr:rowOff>72216</xdr:rowOff>
    </xdr:from>
    <xdr:to>
      <xdr:col>33</xdr:col>
      <xdr:colOff>225675</xdr:colOff>
      <xdr:row>44</xdr:row>
      <xdr:rowOff>150034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493257</xdr:colOff>
      <xdr:row>51</xdr:row>
      <xdr:rowOff>105793</xdr:rowOff>
    </xdr:from>
    <xdr:to>
      <xdr:col>35</xdr:col>
      <xdr:colOff>187778</xdr:colOff>
      <xdr:row>72</xdr:row>
      <xdr:rowOff>62592</xdr:rowOff>
    </xdr:to>
    <xdr:graphicFrame macro="">
      <xdr:nvGraphicFramePr>
        <xdr:cNvPr id="4" name="Gráfico 5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176892</xdr:colOff>
      <xdr:row>7</xdr:row>
      <xdr:rowOff>176893</xdr:rowOff>
    </xdr:from>
    <xdr:to>
      <xdr:col>19</xdr:col>
      <xdr:colOff>482936</xdr:colOff>
      <xdr:row>26</xdr:row>
      <xdr:rowOff>998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83B40CDD-7516-40E1-85C6-7D34773DFC67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0321" y="1877786"/>
          <a:ext cx="6119495" cy="34436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150078</xdr:colOff>
      <xdr:row>6</xdr:row>
      <xdr:rowOff>124387</xdr:rowOff>
    </xdr:from>
    <xdr:to>
      <xdr:col>21</xdr:col>
      <xdr:colOff>371475</xdr:colOff>
      <xdr:row>32</xdr:row>
      <xdr:rowOff>89648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5C316FC6-DE48-4FE6-B048-1AC39FEFBE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cambiarcont(%22html_tramos/9018.html%22);" TargetMode="External"/><Relationship Id="rId13" Type="http://schemas.openxmlformats.org/officeDocument/2006/relationships/hyperlink" Target="javascript:cambiarcont(%22html_tramos/9018.html%22);" TargetMode="External"/><Relationship Id="rId18" Type="http://schemas.openxmlformats.org/officeDocument/2006/relationships/hyperlink" Target="javascript:cambiarcont(%22html_tramos/9018.html%22);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javascript:cambiarcont(%22html_tramos/9018.html%22);" TargetMode="External"/><Relationship Id="rId21" Type="http://schemas.openxmlformats.org/officeDocument/2006/relationships/hyperlink" Target="javascript:cambiarcont(%22html_tramos/7423.html%22);" TargetMode="External"/><Relationship Id="rId7" Type="http://schemas.openxmlformats.org/officeDocument/2006/relationships/hyperlink" Target="javascript:cambiarcont(%22html_tramos/7423.html%22);" TargetMode="External"/><Relationship Id="rId12" Type="http://schemas.openxmlformats.org/officeDocument/2006/relationships/hyperlink" Target="javascript:cambiarcont(%22html_tramos/9018.html%22);" TargetMode="External"/><Relationship Id="rId17" Type="http://schemas.openxmlformats.org/officeDocument/2006/relationships/hyperlink" Target="javascript:cambiarcont(%22html_tramos/7423.html%22);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javascript:cambiarcont(%22html_tramos/9643.html%22);" TargetMode="External"/><Relationship Id="rId16" Type="http://schemas.openxmlformats.org/officeDocument/2006/relationships/hyperlink" Target="javascript:cambiarcont(%22html_tramos/9018.html%22);" TargetMode="External"/><Relationship Id="rId20" Type="http://schemas.openxmlformats.org/officeDocument/2006/relationships/hyperlink" Target="javascript:cambiarcont(%22html_tramos/7424.html%22);" TargetMode="External"/><Relationship Id="rId1" Type="http://schemas.openxmlformats.org/officeDocument/2006/relationships/hyperlink" Target="javascript:cambiarcont(%22html_tramos/9643.html%22);" TargetMode="External"/><Relationship Id="rId6" Type="http://schemas.openxmlformats.org/officeDocument/2006/relationships/hyperlink" Target="javascript:cambiarcont(%22html_tramos/9018.html%22);" TargetMode="External"/><Relationship Id="rId11" Type="http://schemas.openxmlformats.org/officeDocument/2006/relationships/hyperlink" Target="javascript:cambiarcont(%22html_tramos/7423.html%22);" TargetMode="External"/><Relationship Id="rId24" Type="http://schemas.openxmlformats.org/officeDocument/2006/relationships/hyperlink" Target="javascript:cambiarcont(%22html_tramos/7423.html%22);" TargetMode="External"/><Relationship Id="rId5" Type="http://schemas.openxmlformats.org/officeDocument/2006/relationships/hyperlink" Target="javascript:cambiarcont(%22html_tramos/9018.html%22);" TargetMode="External"/><Relationship Id="rId15" Type="http://schemas.openxmlformats.org/officeDocument/2006/relationships/hyperlink" Target="javascript:cambiarcont(%22html_tramos/9018.html%22);" TargetMode="External"/><Relationship Id="rId23" Type="http://schemas.openxmlformats.org/officeDocument/2006/relationships/hyperlink" Target="javascript:cambiarcont(%22html_tramos/9018.html%22);" TargetMode="External"/><Relationship Id="rId10" Type="http://schemas.openxmlformats.org/officeDocument/2006/relationships/hyperlink" Target="javascript:cambiarcont(%22html_tramos/9018.html%22);" TargetMode="External"/><Relationship Id="rId19" Type="http://schemas.openxmlformats.org/officeDocument/2006/relationships/hyperlink" Target="javascript:cambiarcont(%22html_tramos/9018.html%22);" TargetMode="External"/><Relationship Id="rId4" Type="http://schemas.openxmlformats.org/officeDocument/2006/relationships/hyperlink" Target="javascript:cambiarcont(%22html_tramos/9018.html%22);" TargetMode="External"/><Relationship Id="rId9" Type="http://schemas.openxmlformats.org/officeDocument/2006/relationships/hyperlink" Target="javascript:cambiarcont(%22html_tramos/9018.html%22);" TargetMode="External"/><Relationship Id="rId14" Type="http://schemas.openxmlformats.org/officeDocument/2006/relationships/hyperlink" Target="javascript:cambiarcont(%22html_tramos/7423.html%22);" TargetMode="External"/><Relationship Id="rId22" Type="http://schemas.openxmlformats.org/officeDocument/2006/relationships/hyperlink" Target="javascript:cambiarcont(%22html_tramos/7424.html%22);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90"/>
  <sheetViews>
    <sheetView topLeftCell="L46" zoomScale="85" zoomScaleNormal="85" workbookViewId="0">
      <selection activeCell="O67" sqref="O67"/>
    </sheetView>
  </sheetViews>
  <sheetFormatPr baseColWidth="10" defaultRowHeight="15"/>
  <cols>
    <col min="1" max="1" width="3.42578125" style="6" bestFit="1" customWidth="1"/>
    <col min="2" max="2" width="9" style="1" bestFit="1" customWidth="1"/>
    <col min="3" max="3" width="11.42578125" style="1" customWidth="1"/>
    <col min="4" max="4" width="43.85546875" style="1" customWidth="1"/>
    <col min="5" max="8" width="11.42578125" style="1"/>
    <col min="9" max="9" width="16.5703125" style="1" bestFit="1" customWidth="1"/>
    <col min="10" max="10" width="11.42578125" style="1"/>
    <col min="11" max="11" width="11.42578125" style="1" customWidth="1"/>
    <col min="12" max="12" width="13.5703125" style="18" customWidth="1"/>
    <col min="13" max="13" width="11.140625" style="1" bestFit="1" customWidth="1"/>
    <col min="14" max="14" width="29.5703125" style="1" bestFit="1" customWidth="1"/>
    <col min="15" max="15" width="9.42578125" style="1" customWidth="1"/>
    <col min="16" max="16" width="9" style="1" customWidth="1"/>
    <col min="17" max="17" width="9.42578125" style="1" customWidth="1"/>
    <col min="18" max="18" width="9.140625" style="1" customWidth="1"/>
    <col min="19" max="19" width="9.28515625" style="1" customWidth="1"/>
    <col min="20" max="20" width="9.140625" style="1" customWidth="1"/>
    <col min="21" max="23" width="15.5703125" style="1" customWidth="1"/>
    <col min="24" max="28" width="11.42578125" style="1"/>
    <col min="29" max="29" width="13.140625" style="1" bestFit="1" customWidth="1"/>
    <col min="30" max="30" width="14.42578125" style="1" bestFit="1" customWidth="1"/>
    <col min="31" max="32" width="11.42578125" style="1"/>
    <col min="33" max="33" width="12.28515625" style="1" bestFit="1" customWidth="1"/>
    <col min="34" max="34" width="19" style="1" bestFit="1" customWidth="1"/>
    <col min="35" max="16384" width="11.42578125" style="1"/>
  </cols>
  <sheetData>
    <row r="1" spans="1:33" ht="30.75" thickBot="1">
      <c r="B1" s="471" t="s">
        <v>9</v>
      </c>
      <c r="C1" s="471"/>
      <c r="D1" s="471"/>
      <c r="E1" s="471"/>
      <c r="F1" s="471"/>
      <c r="G1" s="471"/>
      <c r="H1" s="471"/>
      <c r="I1" s="471"/>
    </row>
    <row r="2" spans="1:33" ht="25.5" customHeight="1" thickBot="1">
      <c r="B2" s="3"/>
      <c r="C2" s="3"/>
      <c r="D2" s="3"/>
      <c r="E2" s="3"/>
      <c r="F2" s="3"/>
      <c r="G2" s="3"/>
      <c r="H2" s="3"/>
      <c r="I2" s="3"/>
    </row>
    <row r="3" spans="1:33" ht="30.75" thickBot="1">
      <c r="B3" s="4" t="s">
        <v>0</v>
      </c>
      <c r="C3" s="4" t="s">
        <v>1</v>
      </c>
      <c r="D3" s="4" t="s">
        <v>2</v>
      </c>
      <c r="E3" s="4" t="s">
        <v>247</v>
      </c>
      <c r="F3" s="4" t="s">
        <v>246</v>
      </c>
      <c r="G3" s="4" t="s">
        <v>3</v>
      </c>
      <c r="H3" s="4" t="s">
        <v>4</v>
      </c>
      <c r="I3" s="4" t="s">
        <v>5</v>
      </c>
      <c r="M3" s="7"/>
      <c r="N3" s="169" t="s">
        <v>15</v>
      </c>
      <c r="O3" s="10">
        <v>2006</v>
      </c>
      <c r="P3" s="10">
        <v>2007</v>
      </c>
      <c r="Q3" s="10">
        <v>2008</v>
      </c>
      <c r="R3" s="10">
        <v>2009</v>
      </c>
      <c r="S3" s="10">
        <v>2010</v>
      </c>
      <c r="T3" s="10">
        <v>2011</v>
      </c>
      <c r="U3" s="10">
        <v>2012</v>
      </c>
      <c r="V3" s="10">
        <v>2013</v>
      </c>
      <c r="W3" s="10">
        <v>2014</v>
      </c>
      <c r="X3" s="10">
        <v>2015</v>
      </c>
      <c r="Y3" s="10">
        <v>2016</v>
      </c>
      <c r="Z3" s="10">
        <v>2017</v>
      </c>
      <c r="AA3" s="10">
        <v>2018</v>
      </c>
      <c r="AB3" s="10">
        <v>2019</v>
      </c>
      <c r="AC3" s="11">
        <v>2020</v>
      </c>
      <c r="AD3" s="11">
        <v>2021</v>
      </c>
      <c r="AE3" s="10">
        <v>2022</v>
      </c>
      <c r="AF3" s="10">
        <v>2023</v>
      </c>
    </row>
    <row r="4" spans="1:33" ht="15.75" customHeight="1" thickTop="1">
      <c r="A4" s="6">
        <v>1</v>
      </c>
      <c r="B4" s="139">
        <v>17</v>
      </c>
      <c r="C4" s="139" t="s">
        <v>10</v>
      </c>
      <c r="D4" s="139" t="s">
        <v>47</v>
      </c>
      <c r="E4" s="139">
        <v>317.54000000000002</v>
      </c>
      <c r="F4" s="139">
        <v>361.95</v>
      </c>
      <c r="G4" s="139">
        <v>2800</v>
      </c>
      <c r="H4" s="139"/>
      <c r="I4" s="139" t="s">
        <v>8</v>
      </c>
      <c r="J4" s="140">
        <v>2006</v>
      </c>
      <c r="K4" s="1" t="str">
        <f t="shared" ref="K4:K39" si="0">A4&amp;J4</f>
        <v>12006</v>
      </c>
      <c r="L4" s="18">
        <f>+COUNTIF(I4:I30,"Permanente")</f>
        <v>13</v>
      </c>
      <c r="M4" s="8">
        <v>1</v>
      </c>
      <c r="N4" s="8" t="str">
        <f>+D4</f>
        <v>INT.R.P.39 (D) - NOGOYA</v>
      </c>
      <c r="O4" s="9">
        <f>IFERROR(INDEX($G$4:$G$290,MATCH($M4&amp;O$3,$K$4:$K$291,0)),"ERROR")</f>
        <v>2800</v>
      </c>
      <c r="P4" s="9">
        <f t="shared" ref="O4:X5" si="1">IFERROR(INDEX($G$4:$G$290,MATCH($M4&amp;P$3,$K$4:$K$291,0)),"ERROR")</f>
        <v>3050</v>
      </c>
      <c r="Q4" s="9">
        <f t="shared" si="1"/>
        <v>3150</v>
      </c>
      <c r="R4" s="9">
        <f t="shared" si="1"/>
        <v>3200</v>
      </c>
      <c r="S4" s="9">
        <f t="shared" si="1"/>
        <v>3250</v>
      </c>
      <c r="T4" s="9">
        <f t="shared" si="1"/>
        <v>3450</v>
      </c>
      <c r="U4" s="9">
        <f t="shared" si="1"/>
        <v>4200</v>
      </c>
      <c r="V4" s="9">
        <f t="shared" si="1"/>
        <v>4300</v>
      </c>
      <c r="W4" s="9">
        <f t="shared" si="1"/>
        <v>4300</v>
      </c>
      <c r="X4" s="9">
        <f t="shared" si="1"/>
        <v>4400</v>
      </c>
      <c r="Y4" s="9">
        <f t="shared" ref="Y4:AF5" si="2">IFERROR(INDEX($G$4:$G$290,MATCH($M4&amp;Y$3,$K$4:$K$291,0)),"ERROR")</f>
        <v>4300</v>
      </c>
      <c r="Z4" s="9">
        <f t="shared" si="2"/>
        <v>4400</v>
      </c>
      <c r="AA4" s="9">
        <f t="shared" si="2"/>
        <v>4140</v>
      </c>
      <c r="AB4" s="9">
        <f t="shared" si="2"/>
        <v>4050</v>
      </c>
      <c r="AC4" s="12">
        <f t="shared" si="2"/>
        <v>2850</v>
      </c>
      <c r="AD4" s="12">
        <f t="shared" si="2"/>
        <v>3900</v>
      </c>
      <c r="AE4" s="9">
        <f t="shared" si="2"/>
        <v>4300</v>
      </c>
      <c r="AF4" s="9">
        <f t="shared" si="2"/>
        <v>4400</v>
      </c>
      <c r="AG4" s="177" t="s">
        <v>208</v>
      </c>
    </row>
    <row r="5" spans="1:33" ht="15" customHeight="1">
      <c r="A5" s="6">
        <v>2</v>
      </c>
      <c r="B5" s="139">
        <v>17</v>
      </c>
      <c r="C5" s="139" t="s">
        <v>10</v>
      </c>
      <c r="D5" s="139" t="s">
        <v>48</v>
      </c>
      <c r="E5" s="139">
        <v>361.95</v>
      </c>
      <c r="F5" s="139">
        <v>401.34</v>
      </c>
      <c r="G5" s="139">
        <v>2267</v>
      </c>
      <c r="H5" s="139" t="s">
        <v>6</v>
      </c>
      <c r="I5" s="139" t="s">
        <v>7</v>
      </c>
      <c r="J5" s="140">
        <v>2006</v>
      </c>
      <c r="K5" s="1" t="str">
        <f t="shared" si="0"/>
        <v>22006</v>
      </c>
      <c r="M5" s="8">
        <v>2</v>
      </c>
      <c r="N5" s="8" t="str">
        <f>+D5</f>
        <v>NOGOYA - INT.R.N.131 (I)</v>
      </c>
      <c r="O5" s="9">
        <f t="shared" si="1"/>
        <v>2267</v>
      </c>
      <c r="P5" s="9">
        <f t="shared" si="1"/>
        <v>2459</v>
      </c>
      <c r="Q5" s="9">
        <f t="shared" si="1"/>
        <v>2560</v>
      </c>
      <c r="R5" s="9">
        <f t="shared" si="1"/>
        <v>2616</v>
      </c>
      <c r="S5" s="9">
        <f t="shared" si="1"/>
        <v>2778</v>
      </c>
      <c r="T5" s="9">
        <f t="shared" si="1"/>
        <v>2929</v>
      </c>
      <c r="U5" s="9">
        <f t="shared" si="1"/>
        <v>3072</v>
      </c>
      <c r="V5" s="9">
        <f t="shared" si="1"/>
        <v>3385</v>
      </c>
      <c r="W5" s="9">
        <f t="shared" si="1"/>
        <v>3114</v>
      </c>
      <c r="X5" s="9">
        <f t="shared" si="1"/>
        <v>3175</v>
      </c>
      <c r="Y5" s="9">
        <f t="shared" si="2"/>
        <v>3099</v>
      </c>
      <c r="Z5" s="9">
        <f t="shared" si="2"/>
        <v>3174</v>
      </c>
      <c r="AA5" s="9">
        <f t="shared" si="2"/>
        <v>3046</v>
      </c>
      <c r="AB5" s="9">
        <f t="shared" si="2"/>
        <v>2989</v>
      </c>
      <c r="AC5" s="12">
        <f t="shared" si="2"/>
        <v>2099</v>
      </c>
      <c r="AD5" s="12">
        <f t="shared" si="2"/>
        <v>2885</v>
      </c>
      <c r="AE5" s="9">
        <f t="shared" si="2"/>
        <v>3163</v>
      </c>
      <c r="AF5" s="9">
        <f t="shared" si="2"/>
        <v>3251</v>
      </c>
      <c r="AG5" s="177" t="s">
        <v>209</v>
      </c>
    </row>
    <row r="6" spans="1:33" ht="15" customHeight="1">
      <c r="A6" s="6">
        <v>1</v>
      </c>
      <c r="B6" s="139">
        <v>17</v>
      </c>
      <c r="C6" s="139" t="s">
        <v>10</v>
      </c>
      <c r="D6" s="139" t="s">
        <v>47</v>
      </c>
      <c r="E6" s="139" t="s">
        <v>51</v>
      </c>
      <c r="F6" s="139" t="s">
        <v>49</v>
      </c>
      <c r="G6" s="139">
        <v>3050</v>
      </c>
      <c r="H6" s="139" t="s">
        <v>6</v>
      </c>
      <c r="I6" s="139" t="s">
        <v>8</v>
      </c>
      <c r="J6" s="140">
        <v>2007</v>
      </c>
      <c r="K6" s="1" t="str">
        <f t="shared" si="0"/>
        <v>12007</v>
      </c>
    </row>
    <row r="7" spans="1:33" ht="15" customHeight="1">
      <c r="A7" s="6">
        <v>2</v>
      </c>
      <c r="B7" s="139">
        <v>17</v>
      </c>
      <c r="C7" s="139" t="s">
        <v>10</v>
      </c>
      <c r="D7" s="139" t="s">
        <v>48</v>
      </c>
      <c r="E7" s="139" t="s">
        <v>49</v>
      </c>
      <c r="F7" s="139" t="s">
        <v>50</v>
      </c>
      <c r="G7" s="139">
        <v>2459</v>
      </c>
      <c r="H7" s="139" t="s">
        <v>6</v>
      </c>
      <c r="I7" s="139" t="s">
        <v>7</v>
      </c>
      <c r="J7" s="140">
        <v>2007</v>
      </c>
      <c r="K7" s="1" t="str">
        <f t="shared" si="0"/>
        <v>22007</v>
      </c>
    </row>
    <row r="8" spans="1:33" ht="15" customHeight="1">
      <c r="A8" s="6">
        <v>1</v>
      </c>
      <c r="B8" s="139">
        <v>17</v>
      </c>
      <c r="C8" s="139" t="s">
        <v>10</v>
      </c>
      <c r="D8" s="139" t="s">
        <v>47</v>
      </c>
      <c r="E8" s="139" t="s">
        <v>51</v>
      </c>
      <c r="F8" s="139" t="s">
        <v>49</v>
      </c>
      <c r="G8" s="139">
        <v>3150</v>
      </c>
      <c r="H8" s="139" t="s">
        <v>6</v>
      </c>
      <c r="I8" s="139" t="s">
        <v>8</v>
      </c>
      <c r="J8" s="140">
        <v>2008</v>
      </c>
      <c r="K8" s="1" t="str">
        <f t="shared" si="0"/>
        <v>12008</v>
      </c>
    </row>
    <row r="9" spans="1:33" ht="15" customHeight="1">
      <c r="A9" s="6">
        <v>2</v>
      </c>
      <c r="B9" s="139">
        <v>17</v>
      </c>
      <c r="C9" s="139" t="s">
        <v>10</v>
      </c>
      <c r="D9" s="139" t="s">
        <v>48</v>
      </c>
      <c r="E9" s="139" t="s">
        <v>49</v>
      </c>
      <c r="F9" s="139" t="s">
        <v>52</v>
      </c>
      <c r="G9" s="139">
        <v>2560</v>
      </c>
      <c r="H9" s="139" t="s">
        <v>6</v>
      </c>
      <c r="I9" s="139" t="s">
        <v>7</v>
      </c>
      <c r="J9" s="140">
        <v>2008</v>
      </c>
      <c r="K9" s="1" t="str">
        <f t="shared" si="0"/>
        <v>22008</v>
      </c>
    </row>
    <row r="10" spans="1:33" ht="15" customHeight="1">
      <c r="A10" s="6">
        <v>1</v>
      </c>
      <c r="B10" s="139">
        <v>17</v>
      </c>
      <c r="C10" s="139" t="s">
        <v>10</v>
      </c>
      <c r="D10" s="139" t="s">
        <v>47</v>
      </c>
      <c r="E10" s="139" t="s">
        <v>51</v>
      </c>
      <c r="F10" s="139" t="s">
        <v>49</v>
      </c>
      <c r="G10" s="139">
        <v>3200</v>
      </c>
      <c r="H10" s="139"/>
      <c r="I10" s="139" t="s">
        <v>8</v>
      </c>
      <c r="J10" s="140">
        <v>2009</v>
      </c>
      <c r="K10" s="1" t="str">
        <f t="shared" si="0"/>
        <v>12009</v>
      </c>
    </row>
    <row r="11" spans="1:33" ht="15" customHeight="1">
      <c r="A11" s="6">
        <v>2</v>
      </c>
      <c r="B11" s="139">
        <v>17</v>
      </c>
      <c r="C11" s="139" t="s">
        <v>10</v>
      </c>
      <c r="D11" s="139" t="s">
        <v>48</v>
      </c>
      <c r="E11" s="139" t="s">
        <v>49</v>
      </c>
      <c r="F11" s="139" t="s">
        <v>52</v>
      </c>
      <c r="G11" s="139">
        <v>2616</v>
      </c>
      <c r="H11" s="139" t="s">
        <v>6</v>
      </c>
      <c r="I11" s="139" t="s">
        <v>7</v>
      </c>
      <c r="J11" s="140">
        <v>2009</v>
      </c>
      <c r="K11" s="1" t="str">
        <f t="shared" si="0"/>
        <v>22009</v>
      </c>
    </row>
    <row r="12" spans="1:33" ht="15" customHeight="1">
      <c r="A12" s="6">
        <v>1</v>
      </c>
      <c r="B12" s="139">
        <v>17</v>
      </c>
      <c r="C12" s="139" t="s">
        <v>10</v>
      </c>
      <c r="D12" s="139" t="s">
        <v>47</v>
      </c>
      <c r="E12" s="139" t="s">
        <v>51</v>
      </c>
      <c r="F12" s="139" t="s">
        <v>49</v>
      </c>
      <c r="G12" s="139">
        <v>3250</v>
      </c>
      <c r="H12" s="139" t="s">
        <v>6</v>
      </c>
      <c r="I12" s="139" t="s">
        <v>8</v>
      </c>
      <c r="J12" s="140">
        <v>2010</v>
      </c>
      <c r="K12" s="1" t="str">
        <f t="shared" si="0"/>
        <v>12010</v>
      </c>
    </row>
    <row r="13" spans="1:33" ht="15" customHeight="1">
      <c r="A13" s="6">
        <v>2</v>
      </c>
      <c r="B13" s="139">
        <v>17</v>
      </c>
      <c r="C13" s="139" t="s">
        <v>10</v>
      </c>
      <c r="D13" s="139" t="s">
        <v>48</v>
      </c>
      <c r="E13" s="139" t="s">
        <v>49</v>
      </c>
      <c r="F13" s="139" t="s">
        <v>52</v>
      </c>
      <c r="G13" s="139">
        <v>2778</v>
      </c>
      <c r="H13" s="139" t="s">
        <v>6</v>
      </c>
      <c r="I13" s="139" t="s">
        <v>7</v>
      </c>
      <c r="J13" s="140">
        <v>2010</v>
      </c>
      <c r="K13" s="1" t="str">
        <f t="shared" si="0"/>
        <v>22010</v>
      </c>
    </row>
    <row r="14" spans="1:33" ht="15" customHeight="1">
      <c r="A14" s="6">
        <v>1</v>
      </c>
      <c r="B14" s="139">
        <v>17</v>
      </c>
      <c r="C14" s="139" t="s">
        <v>10</v>
      </c>
      <c r="D14" s="139" t="s">
        <v>47</v>
      </c>
      <c r="E14" s="139" t="s">
        <v>51</v>
      </c>
      <c r="F14" s="139" t="s">
        <v>49</v>
      </c>
      <c r="G14" s="139">
        <v>3450</v>
      </c>
      <c r="H14" s="139"/>
      <c r="I14" s="139" t="s">
        <v>8</v>
      </c>
      <c r="J14" s="140">
        <v>2011</v>
      </c>
      <c r="K14" s="1" t="str">
        <f t="shared" si="0"/>
        <v>12011</v>
      </c>
    </row>
    <row r="15" spans="1:33" ht="15" customHeight="1">
      <c r="A15" s="6">
        <v>2</v>
      </c>
      <c r="B15" s="139">
        <v>17</v>
      </c>
      <c r="C15" s="139" t="s">
        <v>10</v>
      </c>
      <c r="D15" s="139" t="s">
        <v>48</v>
      </c>
      <c r="E15" s="139" t="s">
        <v>49</v>
      </c>
      <c r="F15" s="139" t="s">
        <v>52</v>
      </c>
      <c r="G15" s="139">
        <v>2929</v>
      </c>
      <c r="H15" s="139" t="s">
        <v>6</v>
      </c>
      <c r="I15" s="139" t="s">
        <v>7</v>
      </c>
      <c r="J15" s="140">
        <v>2011</v>
      </c>
      <c r="K15" s="1" t="str">
        <f t="shared" si="0"/>
        <v>22011</v>
      </c>
    </row>
    <row r="16" spans="1:33" ht="15" customHeight="1">
      <c r="A16" s="6">
        <v>1</v>
      </c>
      <c r="B16" s="139">
        <v>17</v>
      </c>
      <c r="C16" s="139" t="s">
        <v>10</v>
      </c>
      <c r="D16" s="139" t="s">
        <v>47</v>
      </c>
      <c r="E16" s="139" t="s">
        <v>51</v>
      </c>
      <c r="F16" s="139" t="s">
        <v>49</v>
      </c>
      <c r="G16" s="139">
        <v>4200</v>
      </c>
      <c r="H16" s="139" t="s">
        <v>6</v>
      </c>
      <c r="I16" s="139" t="s">
        <v>8</v>
      </c>
      <c r="J16" s="140">
        <v>2012</v>
      </c>
      <c r="K16" s="1" t="str">
        <f t="shared" si="0"/>
        <v>12012</v>
      </c>
    </row>
    <row r="17" spans="1:33" ht="15" customHeight="1">
      <c r="A17" s="6">
        <v>2</v>
      </c>
      <c r="B17" s="139">
        <v>17</v>
      </c>
      <c r="C17" s="139" t="s">
        <v>10</v>
      </c>
      <c r="D17" s="139" t="s">
        <v>48</v>
      </c>
      <c r="E17" s="139" t="s">
        <v>49</v>
      </c>
      <c r="F17" s="139" t="s">
        <v>52</v>
      </c>
      <c r="G17" s="139">
        <v>3072</v>
      </c>
      <c r="H17" s="139" t="s">
        <v>6</v>
      </c>
      <c r="I17" s="139" t="s">
        <v>7</v>
      </c>
      <c r="J17" s="140">
        <v>2012</v>
      </c>
      <c r="K17" s="1" t="str">
        <f t="shared" si="0"/>
        <v>22012</v>
      </c>
    </row>
    <row r="18" spans="1:33" ht="15" customHeight="1">
      <c r="A18" s="6">
        <v>1</v>
      </c>
      <c r="B18" s="139">
        <v>17</v>
      </c>
      <c r="C18" s="139" t="s">
        <v>10</v>
      </c>
      <c r="D18" s="139" t="s">
        <v>47</v>
      </c>
      <c r="E18" s="139" t="s">
        <v>51</v>
      </c>
      <c r="F18" s="139" t="s">
        <v>49</v>
      </c>
      <c r="G18" s="139">
        <v>4300</v>
      </c>
      <c r="H18" s="139"/>
      <c r="I18" s="139" t="s">
        <v>8</v>
      </c>
      <c r="J18" s="140">
        <v>2013</v>
      </c>
      <c r="K18" s="1" t="str">
        <f t="shared" si="0"/>
        <v>12013</v>
      </c>
    </row>
    <row r="19" spans="1:33">
      <c r="A19" s="6">
        <v>2</v>
      </c>
      <c r="B19" s="139">
        <v>17</v>
      </c>
      <c r="C19" s="139" t="s">
        <v>10</v>
      </c>
      <c r="D19" s="139" t="s">
        <v>48</v>
      </c>
      <c r="E19" s="139" t="s">
        <v>49</v>
      </c>
      <c r="F19" s="139" t="s">
        <v>52</v>
      </c>
      <c r="G19" s="139">
        <v>3385</v>
      </c>
      <c r="H19" s="139" t="s">
        <v>6</v>
      </c>
      <c r="I19" s="139" t="s">
        <v>7</v>
      </c>
      <c r="J19" s="140">
        <v>2013</v>
      </c>
      <c r="K19" s="1" t="str">
        <f t="shared" si="0"/>
        <v>22013</v>
      </c>
    </row>
    <row r="20" spans="1:33" ht="15" customHeight="1">
      <c r="A20" s="6">
        <v>1</v>
      </c>
      <c r="B20" s="139">
        <v>17</v>
      </c>
      <c r="C20" s="139" t="s">
        <v>10</v>
      </c>
      <c r="D20" s="139" t="s">
        <v>47</v>
      </c>
      <c r="E20" s="139" t="s">
        <v>51</v>
      </c>
      <c r="F20" s="139" t="s">
        <v>49</v>
      </c>
      <c r="G20" s="139">
        <v>4300</v>
      </c>
      <c r="H20" s="139" t="s">
        <v>6</v>
      </c>
      <c r="I20" s="139" t="s">
        <v>8</v>
      </c>
      <c r="J20" s="140">
        <v>2014</v>
      </c>
      <c r="K20" s="1" t="str">
        <f t="shared" si="0"/>
        <v>12014</v>
      </c>
    </row>
    <row r="21" spans="1:33" ht="15" customHeight="1">
      <c r="A21" s="6">
        <v>2</v>
      </c>
      <c r="B21" s="139">
        <v>17</v>
      </c>
      <c r="C21" s="139" t="s">
        <v>10</v>
      </c>
      <c r="D21" s="139" t="s">
        <v>48</v>
      </c>
      <c r="E21" s="139" t="s">
        <v>49</v>
      </c>
      <c r="F21" s="139" t="s">
        <v>52</v>
      </c>
      <c r="G21" s="139">
        <v>3114</v>
      </c>
      <c r="H21" s="139" t="s">
        <v>6</v>
      </c>
      <c r="I21" s="139" t="s">
        <v>7</v>
      </c>
      <c r="J21" s="140">
        <v>2014</v>
      </c>
      <c r="K21" s="1" t="str">
        <f t="shared" si="0"/>
        <v>22014</v>
      </c>
    </row>
    <row r="22" spans="1:33" ht="15" customHeight="1">
      <c r="A22" s="6">
        <v>1</v>
      </c>
      <c r="B22" s="139">
        <v>17</v>
      </c>
      <c r="C22" s="139" t="s">
        <v>10</v>
      </c>
      <c r="D22" s="139" t="s">
        <v>47</v>
      </c>
      <c r="E22" s="139" t="s">
        <v>51</v>
      </c>
      <c r="F22" s="139" t="s">
        <v>49</v>
      </c>
      <c r="G22" s="139">
        <v>4400</v>
      </c>
      <c r="H22" s="139"/>
      <c r="I22" s="139" t="s">
        <v>8</v>
      </c>
      <c r="J22" s="140">
        <v>2015</v>
      </c>
      <c r="K22" s="1" t="str">
        <f t="shared" si="0"/>
        <v>12015</v>
      </c>
    </row>
    <row r="23" spans="1:33" ht="15" customHeight="1">
      <c r="A23" s="6">
        <v>2</v>
      </c>
      <c r="B23" s="139">
        <v>17</v>
      </c>
      <c r="C23" s="139" t="s">
        <v>10</v>
      </c>
      <c r="D23" s="139" t="s">
        <v>48</v>
      </c>
      <c r="E23" s="139" t="s">
        <v>49</v>
      </c>
      <c r="F23" s="139" t="s">
        <v>52</v>
      </c>
      <c r="G23" s="139">
        <v>3175</v>
      </c>
      <c r="H23" s="139" t="s">
        <v>6</v>
      </c>
      <c r="I23" s="139" t="s">
        <v>7</v>
      </c>
      <c r="J23" s="140">
        <v>2015</v>
      </c>
      <c r="K23" s="1" t="str">
        <f t="shared" si="0"/>
        <v>22015</v>
      </c>
    </row>
    <row r="24" spans="1:33" ht="15" customHeight="1">
      <c r="A24" s="6">
        <v>1</v>
      </c>
      <c r="B24" s="139">
        <v>17</v>
      </c>
      <c r="C24" s="139" t="s">
        <v>10</v>
      </c>
      <c r="D24" s="139" t="s">
        <v>47</v>
      </c>
      <c r="E24" s="139" t="s">
        <v>51</v>
      </c>
      <c r="F24" s="139" t="s">
        <v>49</v>
      </c>
      <c r="G24" s="139">
        <v>4300</v>
      </c>
      <c r="H24" s="139"/>
      <c r="I24" s="139" t="s">
        <v>8</v>
      </c>
      <c r="J24" s="140">
        <v>2016</v>
      </c>
      <c r="K24" s="1" t="str">
        <f t="shared" si="0"/>
        <v>12016</v>
      </c>
    </row>
    <row r="25" spans="1:33" ht="15" customHeight="1">
      <c r="A25" s="6">
        <v>2</v>
      </c>
      <c r="B25" s="139">
        <v>17</v>
      </c>
      <c r="C25" s="139" t="s">
        <v>10</v>
      </c>
      <c r="D25" s="139" t="s">
        <v>48</v>
      </c>
      <c r="E25" s="139" t="s">
        <v>49</v>
      </c>
      <c r="F25" s="139" t="s">
        <v>52</v>
      </c>
      <c r="G25" s="139">
        <v>3099</v>
      </c>
      <c r="H25" s="139" t="s">
        <v>6</v>
      </c>
      <c r="I25" s="139" t="s">
        <v>7</v>
      </c>
      <c r="J25" s="140">
        <v>2016</v>
      </c>
      <c r="K25" s="1" t="str">
        <f t="shared" si="0"/>
        <v>22016</v>
      </c>
    </row>
    <row r="26" spans="1:33" ht="15" customHeight="1">
      <c r="A26" s="6">
        <v>1</v>
      </c>
      <c r="B26" s="139">
        <v>17</v>
      </c>
      <c r="C26" s="139" t="s">
        <v>10</v>
      </c>
      <c r="D26" s="139" t="s">
        <v>47</v>
      </c>
      <c r="E26" s="139">
        <v>317.54000000000002</v>
      </c>
      <c r="F26" s="139">
        <v>361.95</v>
      </c>
      <c r="G26" s="139">
        <v>4400</v>
      </c>
      <c r="H26" s="139"/>
      <c r="I26" s="139" t="s">
        <v>8</v>
      </c>
      <c r="J26" s="140">
        <v>2017</v>
      </c>
      <c r="K26" s="1" t="str">
        <f t="shared" si="0"/>
        <v>12017</v>
      </c>
    </row>
    <row r="27" spans="1:33" ht="15" customHeight="1">
      <c r="A27" s="6">
        <v>2</v>
      </c>
      <c r="B27" s="139">
        <v>17</v>
      </c>
      <c r="C27" s="139" t="s">
        <v>10</v>
      </c>
      <c r="D27" s="139" t="s">
        <v>48</v>
      </c>
      <c r="E27" s="139">
        <v>361.95</v>
      </c>
      <c r="F27" s="139">
        <v>420.1</v>
      </c>
      <c r="G27" s="139">
        <v>3174</v>
      </c>
      <c r="H27" s="139" t="s">
        <v>6</v>
      </c>
      <c r="I27" s="139" t="s">
        <v>7</v>
      </c>
      <c r="J27" s="140">
        <v>2017</v>
      </c>
      <c r="K27" s="1" t="str">
        <f t="shared" si="0"/>
        <v>22017</v>
      </c>
      <c r="M27" s="470" t="s">
        <v>14</v>
      </c>
      <c r="N27" s="470"/>
      <c r="O27" s="470"/>
      <c r="P27" s="470"/>
      <c r="Q27" s="470"/>
      <c r="R27" s="470"/>
      <c r="S27" s="470"/>
      <c r="T27" s="470"/>
      <c r="U27" s="470"/>
      <c r="V27" s="470"/>
      <c r="W27" s="470"/>
      <c r="X27" s="470"/>
      <c r="Y27" s="470"/>
      <c r="Z27" s="470"/>
      <c r="AA27" s="470"/>
      <c r="AB27" s="470"/>
      <c r="AC27" s="470"/>
      <c r="AD27" s="470"/>
      <c r="AE27" s="470"/>
      <c r="AF27" s="470"/>
    </row>
    <row r="28" spans="1:33" ht="15" customHeight="1" thickBot="1">
      <c r="A28" s="6">
        <v>1</v>
      </c>
      <c r="B28" s="139">
        <v>17</v>
      </c>
      <c r="C28" s="139" t="s">
        <v>10</v>
      </c>
      <c r="D28" s="139" t="s">
        <v>47</v>
      </c>
      <c r="E28" s="139">
        <v>317.54000000000002</v>
      </c>
      <c r="F28" s="139">
        <v>361.95</v>
      </c>
      <c r="G28" s="139">
        <v>4140</v>
      </c>
      <c r="H28" s="139" t="s">
        <v>6</v>
      </c>
      <c r="I28" s="139" t="s">
        <v>8</v>
      </c>
      <c r="J28" s="140">
        <v>2018</v>
      </c>
      <c r="K28" s="1" t="str">
        <f t="shared" si="0"/>
        <v>12018</v>
      </c>
    </row>
    <row r="29" spans="1:33" ht="15" customHeight="1" thickBot="1">
      <c r="A29" s="6">
        <v>2</v>
      </c>
      <c r="B29" s="139">
        <v>17</v>
      </c>
      <c r="C29" s="139" t="s">
        <v>10</v>
      </c>
      <c r="D29" s="139" t="s">
        <v>48</v>
      </c>
      <c r="E29" s="139">
        <v>361.95</v>
      </c>
      <c r="F29" s="139">
        <v>420.1</v>
      </c>
      <c r="G29" s="139">
        <v>3046</v>
      </c>
      <c r="H29" s="139" t="s">
        <v>6</v>
      </c>
      <c r="I29" s="139" t="s">
        <v>7</v>
      </c>
      <c r="J29" s="140">
        <v>2018</v>
      </c>
      <c r="K29" s="1" t="str">
        <f t="shared" si="0"/>
        <v>22018</v>
      </c>
      <c r="N29" s="19" t="s">
        <v>15</v>
      </c>
      <c r="O29" s="14">
        <v>2006</v>
      </c>
      <c r="P29" s="15">
        <v>2007</v>
      </c>
      <c r="Q29" s="15">
        <v>2008</v>
      </c>
      <c r="R29" s="15">
        <v>2009</v>
      </c>
      <c r="S29" s="15">
        <v>2010</v>
      </c>
      <c r="T29" s="15">
        <v>2011</v>
      </c>
      <c r="U29" s="15">
        <v>2012</v>
      </c>
      <c r="V29" s="15">
        <v>2013</v>
      </c>
      <c r="W29" s="15">
        <v>2014</v>
      </c>
      <c r="X29" s="15">
        <v>2015</v>
      </c>
      <c r="Y29" s="15">
        <v>2016</v>
      </c>
      <c r="Z29" s="15">
        <v>2017</v>
      </c>
      <c r="AA29" s="15">
        <v>2018</v>
      </c>
      <c r="AB29" s="15">
        <v>2019</v>
      </c>
      <c r="AC29" s="15">
        <v>2020</v>
      </c>
      <c r="AD29" s="15">
        <v>2021</v>
      </c>
      <c r="AE29" s="15">
        <v>2022</v>
      </c>
      <c r="AF29" s="16">
        <v>2023</v>
      </c>
    </row>
    <row r="30" spans="1:33" ht="15" customHeight="1">
      <c r="A30" s="6">
        <v>1</v>
      </c>
      <c r="B30" s="139">
        <v>17</v>
      </c>
      <c r="C30" s="139" t="s">
        <v>10</v>
      </c>
      <c r="D30" s="139" t="s">
        <v>47</v>
      </c>
      <c r="E30" s="139">
        <v>317.54000000000002</v>
      </c>
      <c r="F30" s="139">
        <v>361.95</v>
      </c>
      <c r="G30" s="139">
        <v>4050</v>
      </c>
      <c r="H30" s="139"/>
      <c r="I30" s="139" t="s">
        <v>8</v>
      </c>
      <c r="J30" s="140">
        <v>2019</v>
      </c>
      <c r="K30" s="1" t="str">
        <f t="shared" si="0"/>
        <v>12019</v>
      </c>
      <c r="M30" s="13">
        <v>1</v>
      </c>
      <c r="N30" s="155" t="str">
        <f>+N5</f>
        <v>NOGOYA - INT.R.N.131 (I)</v>
      </c>
      <c r="O30" s="17">
        <f>+O5</f>
        <v>2267</v>
      </c>
      <c r="P30" s="17">
        <f t="shared" ref="P30:AF30" si="3">+P5</f>
        <v>2459</v>
      </c>
      <c r="Q30" s="17">
        <f t="shared" si="3"/>
        <v>2560</v>
      </c>
      <c r="R30" s="17">
        <f t="shared" si="3"/>
        <v>2616</v>
      </c>
      <c r="S30" s="17">
        <f t="shared" si="3"/>
        <v>2778</v>
      </c>
      <c r="T30" s="17">
        <f t="shared" si="3"/>
        <v>2929</v>
      </c>
      <c r="U30" s="17">
        <f t="shared" si="3"/>
        <v>3072</v>
      </c>
      <c r="V30" s="17">
        <f t="shared" si="3"/>
        <v>3385</v>
      </c>
      <c r="W30" s="17">
        <f t="shared" si="3"/>
        <v>3114</v>
      </c>
      <c r="X30" s="17">
        <f t="shared" si="3"/>
        <v>3175</v>
      </c>
      <c r="Y30" s="17">
        <f t="shared" si="3"/>
        <v>3099</v>
      </c>
      <c r="Z30" s="17">
        <f t="shared" si="3"/>
        <v>3174</v>
      </c>
      <c r="AA30" s="17">
        <f t="shared" si="3"/>
        <v>3046</v>
      </c>
      <c r="AB30" s="17">
        <f t="shared" si="3"/>
        <v>2989</v>
      </c>
      <c r="AC30" s="17">
        <f t="shared" si="3"/>
        <v>2099</v>
      </c>
      <c r="AD30" s="17">
        <f t="shared" si="3"/>
        <v>2885</v>
      </c>
      <c r="AE30" s="17">
        <f t="shared" si="3"/>
        <v>3163</v>
      </c>
      <c r="AF30" s="17">
        <f t="shared" si="3"/>
        <v>3251</v>
      </c>
      <c r="AG30" s="1" t="s">
        <v>7</v>
      </c>
    </row>
    <row r="31" spans="1:33" ht="15" customHeight="1">
      <c r="A31" s="6">
        <v>2</v>
      </c>
      <c r="B31" s="139">
        <v>17</v>
      </c>
      <c r="C31" s="139" t="s">
        <v>10</v>
      </c>
      <c r="D31" s="139" t="s">
        <v>48</v>
      </c>
      <c r="E31" s="139">
        <v>361.95</v>
      </c>
      <c r="F31" s="139">
        <v>420.1</v>
      </c>
      <c r="G31" s="139">
        <v>2989</v>
      </c>
      <c r="H31" s="139" t="s">
        <v>6</v>
      </c>
      <c r="I31" s="139" t="s">
        <v>7</v>
      </c>
      <c r="J31" s="140">
        <v>2019</v>
      </c>
      <c r="K31" s="1" t="str">
        <f t="shared" si="0"/>
        <v>22019</v>
      </c>
    </row>
    <row r="32" spans="1:33" ht="15" customHeight="1">
      <c r="A32" s="6">
        <v>1</v>
      </c>
      <c r="B32" s="139">
        <v>17</v>
      </c>
      <c r="C32" s="139" t="s">
        <v>10</v>
      </c>
      <c r="D32" s="139" t="s">
        <v>47</v>
      </c>
      <c r="E32" s="139">
        <v>317.54000000000002</v>
      </c>
      <c r="F32" s="139">
        <v>361.95</v>
      </c>
      <c r="G32" s="139">
        <v>2850</v>
      </c>
      <c r="H32" s="139"/>
      <c r="I32" s="139" t="s">
        <v>8</v>
      </c>
      <c r="J32" s="140">
        <v>2020</v>
      </c>
      <c r="K32" s="1" t="str">
        <f t="shared" si="0"/>
        <v>12020</v>
      </c>
    </row>
    <row r="33" spans="1:31" ht="15" customHeight="1">
      <c r="A33" s="6">
        <v>2</v>
      </c>
      <c r="B33" s="139">
        <v>17</v>
      </c>
      <c r="C33" s="139" t="s">
        <v>10</v>
      </c>
      <c r="D33" s="139" t="s">
        <v>48</v>
      </c>
      <c r="E33" s="139">
        <v>361.95</v>
      </c>
      <c r="F33" s="139">
        <v>420.1</v>
      </c>
      <c r="G33" s="139">
        <v>2099</v>
      </c>
      <c r="H33" s="139" t="s">
        <v>6</v>
      </c>
      <c r="I33" s="139" t="s">
        <v>7</v>
      </c>
      <c r="J33" s="140">
        <v>2020</v>
      </c>
      <c r="K33" s="1" t="str">
        <f t="shared" si="0"/>
        <v>22020</v>
      </c>
    </row>
    <row r="34" spans="1:31" ht="15" customHeight="1">
      <c r="A34" s="6">
        <v>1</v>
      </c>
      <c r="B34" s="139">
        <v>17</v>
      </c>
      <c r="C34" s="139" t="s">
        <v>10</v>
      </c>
      <c r="D34" s="139" t="s">
        <v>47</v>
      </c>
      <c r="E34" s="139">
        <v>317.54000000000002</v>
      </c>
      <c r="F34" s="139">
        <v>361.95</v>
      </c>
      <c r="G34" s="139">
        <v>3900</v>
      </c>
      <c r="H34" s="139"/>
      <c r="I34" s="139" t="s">
        <v>8</v>
      </c>
      <c r="J34" s="140">
        <v>2021</v>
      </c>
      <c r="K34" s="1" t="str">
        <f t="shared" si="0"/>
        <v>12021</v>
      </c>
    </row>
    <row r="35" spans="1:31" ht="17.25" customHeight="1">
      <c r="A35" s="6">
        <v>2</v>
      </c>
      <c r="B35" s="139">
        <v>17</v>
      </c>
      <c r="C35" s="139" t="s">
        <v>10</v>
      </c>
      <c r="D35" s="139" t="s">
        <v>48</v>
      </c>
      <c r="E35" s="139">
        <v>361.95</v>
      </c>
      <c r="F35" s="139">
        <v>420.1</v>
      </c>
      <c r="G35" s="139">
        <v>2885</v>
      </c>
      <c r="H35" s="139" t="s">
        <v>6</v>
      </c>
      <c r="I35" s="139" t="s">
        <v>7</v>
      </c>
      <c r="J35" s="140">
        <v>2021</v>
      </c>
      <c r="K35" s="1" t="str">
        <f t="shared" si="0"/>
        <v>22021</v>
      </c>
    </row>
    <row r="36" spans="1:31" ht="15" customHeight="1">
      <c r="A36" s="6">
        <v>1</v>
      </c>
      <c r="B36" s="139">
        <v>17</v>
      </c>
      <c r="C36" s="139" t="s">
        <v>10</v>
      </c>
      <c r="D36" s="139" t="s">
        <v>53</v>
      </c>
      <c r="E36" s="139">
        <v>307.41000000000003</v>
      </c>
      <c r="F36" s="139">
        <v>348.43</v>
      </c>
      <c r="G36" s="139">
        <v>4300</v>
      </c>
      <c r="H36" s="139"/>
      <c r="I36" s="139" t="s">
        <v>8</v>
      </c>
      <c r="J36" s="140">
        <v>2022</v>
      </c>
      <c r="K36" s="1" t="str">
        <f t="shared" si="0"/>
        <v>12022</v>
      </c>
    </row>
    <row r="37" spans="1:31" ht="15" customHeight="1">
      <c r="A37" s="6">
        <v>2</v>
      </c>
      <c r="B37" s="139">
        <v>17</v>
      </c>
      <c r="C37" s="139" t="s">
        <v>10</v>
      </c>
      <c r="D37" s="139" t="s">
        <v>54</v>
      </c>
      <c r="E37" s="139">
        <v>348.43</v>
      </c>
      <c r="F37" s="139">
        <v>401.29</v>
      </c>
      <c r="G37" s="139">
        <v>3163</v>
      </c>
      <c r="H37" s="139" t="s">
        <v>6</v>
      </c>
      <c r="I37" s="139" t="s">
        <v>7</v>
      </c>
      <c r="J37" s="140">
        <v>2022</v>
      </c>
      <c r="K37" s="1" t="str">
        <f t="shared" si="0"/>
        <v>22022</v>
      </c>
    </row>
    <row r="38" spans="1:31" ht="15" customHeight="1">
      <c r="A38" s="6">
        <v>1</v>
      </c>
      <c r="B38" s="139">
        <v>17</v>
      </c>
      <c r="C38" s="139" t="s">
        <v>10</v>
      </c>
      <c r="D38" s="139" t="s">
        <v>53</v>
      </c>
      <c r="E38" s="139">
        <v>307.41000000000003</v>
      </c>
      <c r="F38" s="139">
        <v>348.43</v>
      </c>
      <c r="G38" s="139">
        <v>4400</v>
      </c>
      <c r="H38" s="139"/>
      <c r="I38" s="139" t="s">
        <v>8</v>
      </c>
      <c r="J38" s="140">
        <v>2023</v>
      </c>
      <c r="K38" s="1" t="str">
        <f t="shared" si="0"/>
        <v>12023</v>
      </c>
    </row>
    <row r="39" spans="1:31" ht="15" customHeight="1">
      <c r="A39" s="6">
        <v>2</v>
      </c>
      <c r="B39" s="139">
        <v>17</v>
      </c>
      <c r="C39" s="139" t="s">
        <v>10</v>
      </c>
      <c r="D39" s="139" t="s">
        <v>54</v>
      </c>
      <c r="E39" s="139">
        <v>348.43</v>
      </c>
      <c r="F39" s="139">
        <v>401.29</v>
      </c>
      <c r="G39" s="139">
        <v>3251</v>
      </c>
      <c r="H39" s="139" t="s">
        <v>6</v>
      </c>
      <c r="I39" s="139" t="s">
        <v>7</v>
      </c>
      <c r="J39" s="140">
        <v>2023</v>
      </c>
      <c r="K39" s="1" t="str">
        <f t="shared" si="0"/>
        <v>22023</v>
      </c>
    </row>
    <row r="40" spans="1:31" ht="15" customHeight="1">
      <c r="A40" s="141"/>
      <c r="B40" s="143"/>
      <c r="C40" s="143"/>
      <c r="D40" s="143"/>
      <c r="E40" s="143"/>
      <c r="F40" s="143"/>
      <c r="G40" s="143"/>
      <c r="H40" s="143"/>
      <c r="I40" s="143"/>
      <c r="J40" s="144"/>
      <c r="K40" s="142"/>
    </row>
    <row r="41" spans="1:31" ht="15" customHeight="1">
      <c r="A41" s="141"/>
      <c r="B41" s="143"/>
      <c r="C41" s="143"/>
      <c r="D41" s="143"/>
      <c r="E41" s="143"/>
      <c r="F41" s="143"/>
      <c r="G41" s="143"/>
      <c r="H41" s="143"/>
      <c r="I41" s="143"/>
      <c r="J41" s="144"/>
      <c r="K41" s="142"/>
    </row>
    <row r="42" spans="1:31" ht="15" customHeight="1">
      <c r="A42" s="141"/>
      <c r="B42" s="143"/>
      <c r="C42" s="143"/>
      <c r="D42" s="143"/>
      <c r="E42" s="143"/>
      <c r="F42" s="143"/>
      <c r="G42" s="143"/>
      <c r="H42" s="143"/>
      <c r="I42" s="143"/>
      <c r="J42" s="144"/>
      <c r="K42" s="142"/>
    </row>
    <row r="43" spans="1:31" ht="15" customHeight="1">
      <c r="A43" s="141"/>
      <c r="B43" s="143"/>
      <c r="C43" s="143"/>
      <c r="D43" s="143"/>
      <c r="E43" s="143"/>
      <c r="F43" s="143"/>
      <c r="G43" s="143"/>
      <c r="H43" s="143"/>
      <c r="I43" s="143"/>
      <c r="J43" s="144"/>
      <c r="K43" s="142"/>
    </row>
    <row r="44" spans="1:31" ht="15" customHeight="1">
      <c r="A44" s="141"/>
      <c r="B44" s="143"/>
      <c r="C44" s="143"/>
      <c r="D44" s="143"/>
      <c r="E44" s="143"/>
      <c r="F44" s="143"/>
      <c r="G44" s="143"/>
      <c r="H44" s="143"/>
      <c r="I44" s="143"/>
      <c r="J44" s="144"/>
      <c r="K44" s="142"/>
    </row>
    <row r="45" spans="1:31" ht="15" customHeight="1">
      <c r="A45" s="141"/>
      <c r="B45" s="143"/>
      <c r="C45" s="143"/>
      <c r="D45" s="143"/>
      <c r="E45" s="143"/>
      <c r="F45" s="143"/>
      <c r="G45" s="143"/>
      <c r="H45" s="143"/>
      <c r="I45" s="143"/>
      <c r="J45" s="144"/>
      <c r="K45" s="142"/>
    </row>
    <row r="46" spans="1:31" ht="15" customHeight="1">
      <c r="A46" s="141"/>
      <c r="B46" s="143"/>
      <c r="C46" s="143"/>
      <c r="D46" s="143"/>
      <c r="E46" s="143"/>
      <c r="F46" s="143"/>
      <c r="G46" s="143"/>
      <c r="H46" s="143"/>
      <c r="I46" s="143"/>
      <c r="J46" s="144"/>
      <c r="K46" s="142"/>
    </row>
    <row r="47" spans="1:31" ht="15" customHeight="1">
      <c r="A47" s="141"/>
      <c r="B47" s="143"/>
      <c r="C47" s="143"/>
      <c r="D47" s="143"/>
      <c r="E47" s="143"/>
      <c r="F47" s="143"/>
      <c r="G47" s="143"/>
      <c r="H47" s="143"/>
      <c r="I47" s="143"/>
      <c r="J47" s="144"/>
      <c r="K47" s="142"/>
      <c r="N47" s="472" t="s">
        <v>79</v>
      </c>
      <c r="O47" s="473"/>
      <c r="P47" s="473"/>
      <c r="Q47" s="473"/>
      <c r="R47" s="473"/>
      <c r="S47" s="473"/>
      <c r="T47" s="473"/>
      <c r="U47" s="473"/>
      <c r="V47" s="473"/>
      <c r="W47" s="473"/>
      <c r="X47" s="473"/>
      <c r="Y47" s="473"/>
      <c r="Z47" s="473"/>
      <c r="AA47" s="473"/>
      <c r="AB47" s="473"/>
      <c r="AC47" s="473"/>
      <c r="AD47" s="473"/>
      <c r="AE47" s="474"/>
    </row>
    <row r="48" spans="1:31" ht="15" customHeight="1">
      <c r="A48" s="141"/>
      <c r="B48" s="143"/>
      <c r="C48" s="143"/>
      <c r="D48" s="143"/>
      <c r="E48" s="143"/>
      <c r="F48" s="143"/>
      <c r="G48" s="143"/>
      <c r="H48" s="143"/>
      <c r="I48" s="143"/>
      <c r="J48" s="144"/>
      <c r="K48" s="142"/>
      <c r="N48" s="161" t="str">
        <f>+N4</f>
        <v>INT.R.P.39 (D) - NOGOYA</v>
      </c>
      <c r="O48" s="156">
        <f t="shared" ref="O48:AE48" si="4">(P4/O4)^(1/1)-1</f>
        <v>8.9285714285714191E-2</v>
      </c>
      <c r="P48" s="156">
        <f t="shared" si="4"/>
        <v>3.2786885245901676E-2</v>
      </c>
      <c r="Q48" s="156">
        <f t="shared" si="4"/>
        <v>1.5873015873015817E-2</v>
      </c>
      <c r="R48" s="156">
        <f t="shared" si="4"/>
        <v>1.5625E-2</v>
      </c>
      <c r="S48" s="156">
        <f t="shared" si="4"/>
        <v>6.1538461538461542E-2</v>
      </c>
      <c r="T48" s="156">
        <f t="shared" si="4"/>
        <v>0.21739130434782616</v>
      </c>
      <c r="U48" s="156">
        <f t="shared" si="4"/>
        <v>2.3809523809523725E-2</v>
      </c>
      <c r="V48" s="156">
        <f t="shared" si="4"/>
        <v>0</v>
      </c>
      <c r="W48" s="156">
        <f t="shared" si="4"/>
        <v>2.3255813953488413E-2</v>
      </c>
      <c r="X48" s="156">
        <f t="shared" si="4"/>
        <v>-2.2727272727272707E-2</v>
      </c>
      <c r="Y48" s="156">
        <f t="shared" si="4"/>
        <v>2.3255813953488413E-2</v>
      </c>
      <c r="Z48" s="156">
        <f t="shared" si="4"/>
        <v>-5.9090909090909083E-2</v>
      </c>
      <c r="AA48" s="156">
        <f t="shared" si="4"/>
        <v>-2.1739130434782594E-2</v>
      </c>
      <c r="AB48" s="156">
        <f t="shared" si="4"/>
        <v>-0.29629629629629628</v>
      </c>
      <c r="AC48" s="156">
        <f t="shared" si="4"/>
        <v>0.36842105263157898</v>
      </c>
      <c r="AD48" s="156">
        <f t="shared" si="4"/>
        <v>0.10256410256410264</v>
      </c>
      <c r="AE48" s="157">
        <f t="shared" si="4"/>
        <v>2.3255813953488413E-2</v>
      </c>
    </row>
    <row r="49" spans="1:31" ht="15" customHeight="1">
      <c r="A49" s="141"/>
      <c r="B49" s="143"/>
      <c r="C49" s="143"/>
      <c r="D49" s="143"/>
      <c r="E49" s="143"/>
      <c r="F49" s="143"/>
      <c r="G49" s="143"/>
      <c r="H49" s="143"/>
      <c r="I49" s="143"/>
      <c r="J49" s="144"/>
      <c r="K49" s="142"/>
      <c r="N49" s="161" t="str">
        <f>+N5</f>
        <v>NOGOYA - INT.R.N.131 (I)</v>
      </c>
      <c r="O49" s="156">
        <f>(P5/O5)^(1/1)-1</f>
        <v>8.4693427437141588E-2</v>
      </c>
      <c r="P49" s="156">
        <f>(Q5/P5)^(1/1)-1</f>
        <v>4.1073607157380954E-2</v>
      </c>
      <c r="Q49" s="156">
        <f>(R5/Q5)^(1/1)-1</f>
        <v>2.1875000000000089E-2</v>
      </c>
      <c r="R49" s="156">
        <f t="shared" ref="R49:AE49" si="5">(S5/R5)^(1/1)-1</f>
        <v>6.1926605504587062E-2</v>
      </c>
      <c r="S49" s="156">
        <f t="shared" si="5"/>
        <v>5.4355651547876249E-2</v>
      </c>
      <c r="T49" s="156">
        <f t="shared" si="5"/>
        <v>4.8822123591669486E-2</v>
      </c>
      <c r="U49" s="156">
        <f t="shared" si="5"/>
        <v>0.10188802083333326</v>
      </c>
      <c r="V49" s="156">
        <f t="shared" si="5"/>
        <v>-8.005908419497787E-2</v>
      </c>
      <c r="W49" s="156">
        <f>(X5/W5)^(1/1)-1</f>
        <v>1.9588953114964669E-2</v>
      </c>
      <c r="X49" s="156">
        <f t="shared" si="5"/>
        <v>-2.3937007874015759E-2</v>
      </c>
      <c r="Y49" s="156">
        <f t="shared" si="5"/>
        <v>2.4201355275895509E-2</v>
      </c>
      <c r="Z49" s="156">
        <f>(AA5/Z5)^(1/1)-1</f>
        <v>-4.0327662255828622E-2</v>
      </c>
      <c r="AA49" s="156">
        <f>(AB5/AA5)^(1/1)-1</f>
        <v>-1.871306631648062E-2</v>
      </c>
      <c r="AB49" s="156">
        <f t="shared" si="5"/>
        <v>-0.29775844764135162</v>
      </c>
      <c r="AC49" s="156">
        <f t="shared" si="5"/>
        <v>0.37446403049070986</v>
      </c>
      <c r="AD49" s="156">
        <f t="shared" si="5"/>
        <v>9.6360485268630836E-2</v>
      </c>
      <c r="AE49" s="157">
        <f t="shared" si="5"/>
        <v>2.7821688270629252E-2</v>
      </c>
    </row>
    <row r="50" spans="1:31" ht="15" customHeight="1">
      <c r="A50" s="141"/>
      <c r="B50" s="143"/>
      <c r="C50" s="143"/>
      <c r="D50" s="143"/>
      <c r="E50" s="143"/>
      <c r="F50" s="143"/>
      <c r="G50" s="143"/>
      <c r="H50" s="143"/>
      <c r="I50" s="143"/>
      <c r="J50" s="144"/>
      <c r="K50" s="142"/>
      <c r="N50" s="160" t="s">
        <v>78</v>
      </c>
      <c r="O50" s="158">
        <f>AVERAGE(O48:O49)</f>
        <v>8.698957086142789E-2</v>
      </c>
      <c r="P50" s="158">
        <f>AVERAGE(P48:P49)</f>
        <v>3.6930246201641315E-2</v>
      </c>
      <c r="Q50" s="158">
        <f t="shared" ref="Q50:AE50" si="6">AVERAGE(Q48:Q49)</f>
        <v>1.8874007936507953E-2</v>
      </c>
      <c r="R50" s="158">
        <f t="shared" si="6"/>
        <v>3.8775802752293531E-2</v>
      </c>
      <c r="S50" s="158">
        <f t="shared" si="6"/>
        <v>5.7947056543168896E-2</v>
      </c>
      <c r="T50" s="158">
        <f t="shared" si="6"/>
        <v>0.13310671396974783</v>
      </c>
      <c r="U50" s="158">
        <f t="shared" si="6"/>
        <v>6.2848772321428492E-2</v>
      </c>
      <c r="V50" s="158">
        <f t="shared" si="6"/>
        <v>-4.0029542097488935E-2</v>
      </c>
      <c r="W50" s="158">
        <f t="shared" si="6"/>
        <v>2.1422383534226541E-2</v>
      </c>
      <c r="X50" s="158">
        <f t="shared" si="6"/>
        <v>-2.3332140300644233E-2</v>
      </c>
      <c r="Y50" s="158">
        <f t="shared" si="6"/>
        <v>2.3728584614691961E-2</v>
      </c>
      <c r="Z50" s="158">
        <f t="shared" si="6"/>
        <v>-4.9709285673368853E-2</v>
      </c>
      <c r="AA50" s="158">
        <f t="shared" si="6"/>
        <v>-2.0226098375631607E-2</v>
      </c>
      <c r="AB50" s="158">
        <f t="shared" si="6"/>
        <v>-0.29702737196882395</v>
      </c>
      <c r="AC50" s="158">
        <f t="shared" si="6"/>
        <v>0.37144254156114442</v>
      </c>
      <c r="AD50" s="158">
        <f t="shared" si="6"/>
        <v>9.946229391636674E-2</v>
      </c>
      <c r="AE50" s="159">
        <f t="shared" si="6"/>
        <v>2.5538751112058833E-2</v>
      </c>
    </row>
    <row r="51" spans="1:31" ht="18" customHeight="1">
      <c r="A51" s="141"/>
      <c r="B51" s="143"/>
      <c r="C51" s="143"/>
      <c r="D51" s="143"/>
      <c r="E51" s="143"/>
      <c r="F51" s="143"/>
      <c r="G51" s="143"/>
      <c r="H51" s="143"/>
      <c r="I51" s="143"/>
      <c r="J51" s="144"/>
      <c r="K51" s="142"/>
    </row>
    <row r="52" spans="1:31" ht="15" customHeight="1">
      <c r="A52" s="141"/>
      <c r="B52" s="143"/>
      <c r="C52" s="143"/>
      <c r="D52" s="143"/>
      <c r="E52" s="143"/>
      <c r="F52" s="143"/>
      <c r="G52" s="143"/>
      <c r="H52" s="143"/>
      <c r="I52" s="143"/>
      <c r="J52" s="144"/>
      <c r="K52" s="142"/>
    </row>
    <row r="53" spans="1:31" ht="15" customHeight="1">
      <c r="A53" s="141"/>
      <c r="B53" s="143"/>
      <c r="C53" s="143"/>
      <c r="D53" s="143"/>
      <c r="E53" s="143"/>
      <c r="F53" s="143"/>
      <c r="G53" s="143"/>
      <c r="H53" s="143"/>
      <c r="I53" s="143"/>
      <c r="J53" s="144"/>
      <c r="K53" s="142"/>
    </row>
    <row r="54" spans="1:31" ht="15" customHeight="1" thickBot="1">
      <c r="A54" s="141"/>
      <c r="B54" s="143"/>
      <c r="C54" s="143"/>
      <c r="D54" s="143"/>
      <c r="E54" s="143"/>
      <c r="F54" s="143"/>
      <c r="G54" s="143"/>
      <c r="H54" s="143"/>
      <c r="I54" s="143"/>
      <c r="J54" s="144"/>
      <c r="K54" s="142"/>
      <c r="V54" s="494" t="s">
        <v>260</v>
      </c>
      <c r="W54" s="494"/>
      <c r="X54" s="494"/>
    </row>
    <row r="55" spans="1:31" ht="15" customHeight="1" thickBot="1">
      <c r="A55" s="141"/>
      <c r="B55" s="143"/>
      <c r="C55" s="143"/>
      <c r="D55" s="143"/>
      <c r="E55" s="143"/>
      <c r="F55" s="143"/>
      <c r="G55" s="143"/>
      <c r="H55" s="143"/>
      <c r="I55" s="143"/>
      <c r="J55" s="144"/>
      <c r="K55" s="142"/>
      <c r="M55" s="483" t="s">
        <v>15</v>
      </c>
      <c r="N55" s="484"/>
      <c r="O55" s="487" t="s">
        <v>82</v>
      </c>
      <c r="P55" s="488"/>
      <c r="Q55" s="487" t="s">
        <v>83</v>
      </c>
      <c r="R55" s="489"/>
      <c r="S55" s="490" t="s">
        <v>84</v>
      </c>
      <c r="T55" s="491"/>
    </row>
    <row r="56" spans="1:31" ht="15" customHeight="1" thickBot="1">
      <c r="A56" s="141"/>
      <c r="B56" s="143"/>
      <c r="C56" s="143"/>
      <c r="D56" s="143"/>
      <c r="E56" s="143"/>
      <c r="F56" s="143"/>
      <c r="G56" s="143"/>
      <c r="H56" s="143"/>
      <c r="I56" s="143"/>
      <c r="J56" s="144"/>
      <c r="K56" s="142"/>
      <c r="M56" s="485"/>
      <c r="N56" s="486"/>
      <c r="O56" s="192" t="s">
        <v>80</v>
      </c>
      <c r="P56" s="193" t="s">
        <v>81</v>
      </c>
      <c r="Q56" s="192" t="s">
        <v>100</v>
      </c>
      <c r="R56" s="194" t="s">
        <v>107</v>
      </c>
      <c r="S56" s="195" t="s">
        <v>99</v>
      </c>
      <c r="T56" s="193" t="s">
        <v>106</v>
      </c>
      <c r="V56" s="479" t="s">
        <v>265</v>
      </c>
      <c r="W56" s="480"/>
      <c r="X56" s="481"/>
    </row>
    <row r="57" spans="1:31" ht="15" customHeight="1">
      <c r="A57" s="141"/>
      <c r="B57" s="143"/>
      <c r="C57" s="143"/>
      <c r="D57" s="143"/>
      <c r="E57" s="143"/>
      <c r="F57" s="143"/>
      <c r="G57" s="143"/>
      <c r="H57" s="143"/>
      <c r="I57" s="143"/>
      <c r="J57" s="144"/>
      <c r="K57" s="142"/>
      <c r="M57" s="196" t="s">
        <v>17</v>
      </c>
      <c r="N57" s="197" t="str">
        <f>+N48</f>
        <v>INT.R.P.39 (D) - NOGOYA</v>
      </c>
      <c r="O57" s="198">
        <f>(AF4/O4)^(1/17)-1</f>
        <v>2.6943957393307016E-2</v>
      </c>
      <c r="P57" s="199">
        <f>(AF4/T4)^(1/12)-1</f>
        <v>2.047600753341583E-2</v>
      </c>
      <c r="Q57" s="198">
        <f>(Z4/U4)^(1/5)-1</f>
        <v>9.3474199095688881E-3</v>
      </c>
      <c r="R57" s="200">
        <f>(AF4/Y4)^(1/6)-1</f>
        <v>3.8389362821167339E-3</v>
      </c>
      <c r="S57" s="201">
        <f>(U4/O4)^(1/6)-1</f>
        <v>6.991319393366302E-2</v>
      </c>
      <c r="T57" s="199">
        <f>(Z4/S4)^(1/7)-1</f>
        <v>4.4228678693801315E-2</v>
      </c>
      <c r="V57" s="482" t="s">
        <v>88</v>
      </c>
      <c r="W57" s="187" t="s">
        <v>89</v>
      </c>
      <c r="X57" s="361" t="s">
        <v>90</v>
      </c>
    </row>
    <row r="58" spans="1:31" ht="21" customHeight="1">
      <c r="J58" s="2"/>
      <c r="M58" s="202" t="s">
        <v>18</v>
      </c>
      <c r="N58" s="197" t="str">
        <f>+N49</f>
        <v>NOGOYA - INT.R.N.131 (I)</v>
      </c>
      <c r="O58" s="198">
        <f>(AF5/O5)^(1/17)-1</f>
        <v>2.1432641513262851E-2</v>
      </c>
      <c r="P58" s="199">
        <f>(AF5/T5)^(1/12)-1</f>
        <v>8.7296811426915699E-3</v>
      </c>
      <c r="Q58" s="198">
        <f>(Z5/U5)^(1/5)-1</f>
        <v>6.5541463916751752E-3</v>
      </c>
      <c r="R58" s="200">
        <f>(AF5/Y5)^(1/6)-1</f>
        <v>8.0124563733083853E-3</v>
      </c>
      <c r="S58" s="201">
        <f>(U5/O5)^(1/6)-1</f>
        <v>5.1949638084849203E-2</v>
      </c>
      <c r="T58" s="199">
        <f>(Z5/S5)^(1/7)-1</f>
        <v>1.9219705246292795E-2</v>
      </c>
      <c r="V58" s="482"/>
      <c r="W58" s="187" t="s">
        <v>3</v>
      </c>
      <c r="X58" s="361" t="s">
        <v>3</v>
      </c>
    </row>
    <row r="59" spans="1:31" ht="18" customHeight="1" thickBot="1">
      <c r="J59" s="2"/>
      <c r="M59" s="492" t="s">
        <v>85</v>
      </c>
      <c r="N59" s="493"/>
      <c r="O59" s="203">
        <f t="shared" ref="O59:T59" si="7">AVERAGE(O57:O58)</f>
        <v>2.4188299453284934E-2</v>
      </c>
      <c r="P59" s="204">
        <f t="shared" si="7"/>
        <v>1.46028443380537E-2</v>
      </c>
      <c r="Q59" s="205">
        <f t="shared" si="7"/>
        <v>7.9507831506220317E-3</v>
      </c>
      <c r="R59" s="204">
        <f t="shared" si="7"/>
        <v>5.9256963277125596E-3</v>
      </c>
      <c r="S59" s="206">
        <f t="shared" si="7"/>
        <v>6.0931416009256112E-2</v>
      </c>
      <c r="T59" s="207">
        <f t="shared" si="7"/>
        <v>3.1724191970047055E-2</v>
      </c>
      <c r="V59" s="310" t="s">
        <v>25</v>
      </c>
      <c r="W59" s="362">
        <v>2.5000000000000001E-2</v>
      </c>
      <c r="X59" s="363">
        <v>0.02</v>
      </c>
    </row>
    <row r="60" spans="1:31" ht="18" customHeight="1" thickBot="1">
      <c r="B60" s="139"/>
      <c r="C60" s="139"/>
      <c r="D60" s="139"/>
      <c r="E60" s="139"/>
      <c r="F60" s="139"/>
      <c r="G60" s="139"/>
      <c r="H60" s="139"/>
      <c r="I60" s="139"/>
      <c r="J60" s="140"/>
      <c r="M60"/>
      <c r="N60"/>
      <c r="O60"/>
      <c r="P60"/>
      <c r="Q60"/>
      <c r="R60"/>
      <c r="S60"/>
      <c r="T60"/>
      <c r="V60" s="310" t="s">
        <v>91</v>
      </c>
      <c r="W60" s="362">
        <v>0.01</v>
      </c>
      <c r="X60" s="363">
        <v>5.0000000000000001E-3</v>
      </c>
    </row>
    <row r="61" spans="1:31" ht="18" customHeight="1" thickBot="1">
      <c r="B61" s="139"/>
      <c r="C61" s="139"/>
      <c r="D61" s="139"/>
      <c r="E61" s="139"/>
      <c r="F61" s="139"/>
      <c r="G61" s="139"/>
      <c r="H61" s="139"/>
      <c r="I61" s="139"/>
      <c r="J61" s="140"/>
      <c r="M61" s="475" t="s">
        <v>15</v>
      </c>
      <c r="N61" s="476"/>
      <c r="O61" s="165" t="s">
        <v>86</v>
      </c>
      <c r="Q61" s="165" t="s">
        <v>87</v>
      </c>
      <c r="R61"/>
      <c r="S61"/>
      <c r="T61"/>
      <c r="V61" s="195" t="s">
        <v>92</v>
      </c>
      <c r="W61" s="364">
        <v>0.05</v>
      </c>
      <c r="X61" s="365">
        <v>0.04</v>
      </c>
    </row>
    <row r="62" spans="1:31" ht="18" customHeight="1">
      <c r="B62" s="139"/>
      <c r="C62" s="139"/>
      <c r="D62" s="139"/>
      <c r="E62" s="139"/>
      <c r="F62" s="139"/>
      <c r="G62" s="139"/>
      <c r="H62" s="139"/>
      <c r="I62" s="139"/>
      <c r="J62" s="140"/>
      <c r="M62" s="163" t="s">
        <v>17</v>
      </c>
      <c r="N62" s="166" t="str">
        <f>+N48</f>
        <v>INT.R.P.39 (D) - NOGOYA</v>
      </c>
      <c r="O62" s="167">
        <f>(AF4/AE4)^(1/1)-1</f>
        <v>2.3255813953488413E-2</v>
      </c>
      <c r="P62"/>
      <c r="Q62" s="167">
        <f>(AB4/AA4)^(1/1)-1</f>
        <v>-2.1739130434782594E-2</v>
      </c>
      <c r="R62"/>
      <c r="S62"/>
      <c r="T62"/>
    </row>
    <row r="63" spans="1:31" ht="18" customHeight="1" thickBot="1">
      <c r="B63" s="139"/>
      <c r="C63" s="139"/>
      <c r="D63" s="139"/>
      <c r="E63" s="139"/>
      <c r="F63" s="139"/>
      <c r="G63" s="139"/>
      <c r="H63" s="139"/>
      <c r="I63" s="139"/>
      <c r="J63" s="140"/>
      <c r="M63" s="164" t="s">
        <v>18</v>
      </c>
      <c r="N63" s="166" t="str">
        <f>+N49</f>
        <v>NOGOYA - INT.R.N.131 (I)</v>
      </c>
      <c r="O63" s="167">
        <f>(AF5/AE5)^(1/1)-1</f>
        <v>2.7821688270629252E-2</v>
      </c>
      <c r="P63"/>
      <c r="Q63" s="167">
        <f>(AB5/AA5)^(1/1)-1</f>
        <v>-1.871306631648062E-2</v>
      </c>
      <c r="R63"/>
      <c r="S63"/>
      <c r="T63"/>
    </row>
    <row r="64" spans="1:31" ht="15" customHeight="1" thickBot="1">
      <c r="B64" s="139"/>
      <c r="C64" s="139"/>
      <c r="D64" s="139"/>
      <c r="E64" s="139"/>
      <c r="F64" s="139"/>
      <c r="G64" s="139"/>
      <c r="H64" s="139"/>
      <c r="I64" s="139"/>
      <c r="J64" s="140"/>
      <c r="M64" s="477" t="s">
        <v>85</v>
      </c>
      <c r="N64" s="478"/>
      <c r="O64" s="168">
        <f>AVERAGE(O62:O63)</f>
        <v>2.5538751112058833E-2</v>
      </c>
      <c r="P64"/>
      <c r="Q64" s="168">
        <f>AVERAGE(Q62:Q63)</f>
        <v>-2.0226098375631607E-2</v>
      </c>
      <c r="R64"/>
      <c r="S64"/>
      <c r="T64"/>
    </row>
    <row r="65" spans="2:23" ht="15" customHeight="1">
      <c r="B65" s="139"/>
      <c r="C65" s="139"/>
      <c r="D65" s="139"/>
      <c r="E65" s="139"/>
      <c r="F65" s="139"/>
      <c r="G65" s="139"/>
      <c r="H65" s="139"/>
      <c r="I65" s="139"/>
      <c r="J65" s="140"/>
    </row>
    <row r="66" spans="2:23" ht="15" customHeight="1">
      <c r="B66" s="139"/>
      <c r="C66" s="139"/>
      <c r="D66" s="139"/>
      <c r="E66" s="139"/>
      <c r="F66" s="139"/>
      <c r="G66" s="139"/>
      <c r="H66" s="139"/>
      <c r="I66" s="139"/>
      <c r="J66" s="140"/>
    </row>
    <row r="67" spans="2:23">
      <c r="B67" s="139"/>
      <c r="C67" s="139"/>
      <c r="D67" s="139"/>
      <c r="E67" s="139"/>
      <c r="F67" s="139"/>
      <c r="G67" s="139"/>
      <c r="H67" s="139"/>
      <c r="I67" s="139"/>
      <c r="J67" s="140"/>
    </row>
    <row r="68" spans="2:23" ht="15" customHeight="1">
      <c r="B68" s="139"/>
      <c r="C68" s="139"/>
      <c r="D68" s="139"/>
      <c r="E68" s="139"/>
      <c r="F68" s="139"/>
      <c r="G68" s="139"/>
      <c r="H68" s="139"/>
      <c r="I68" s="139"/>
      <c r="J68" s="140"/>
      <c r="O68" s="162"/>
      <c r="P68" s="162"/>
      <c r="Q68" s="162"/>
      <c r="R68" s="162"/>
      <c r="S68" s="162"/>
      <c r="T68" s="162"/>
      <c r="U68" s="162"/>
      <c r="V68"/>
      <c r="W68"/>
    </row>
    <row r="69" spans="2:23" ht="15" customHeight="1">
      <c r="B69" s="139"/>
      <c r="C69" s="139"/>
      <c r="D69" s="139"/>
      <c r="E69" s="139"/>
      <c r="F69" s="139"/>
      <c r="G69" s="139"/>
      <c r="H69" s="139"/>
      <c r="I69" s="139"/>
      <c r="J69" s="140"/>
      <c r="V69"/>
      <c r="W69"/>
    </row>
    <row r="70" spans="2:23" ht="15" customHeight="1">
      <c r="B70" s="139"/>
      <c r="C70" s="139"/>
      <c r="D70" s="139"/>
      <c r="E70" s="139"/>
      <c r="F70" s="139"/>
      <c r="G70" s="139"/>
      <c r="H70" s="139"/>
      <c r="I70" s="139"/>
      <c r="J70" s="140"/>
      <c r="V70"/>
    </row>
    <row r="71" spans="2:23" ht="15" customHeight="1">
      <c r="B71" s="139"/>
      <c r="C71" s="139"/>
      <c r="D71" s="139"/>
      <c r="E71" s="139"/>
      <c r="F71" s="139"/>
      <c r="G71" s="139"/>
      <c r="H71" s="139"/>
      <c r="I71" s="139"/>
      <c r="J71" s="140"/>
    </row>
    <row r="72" spans="2:23" ht="15" customHeight="1">
      <c r="B72" s="139"/>
      <c r="C72" s="139"/>
      <c r="D72" s="139"/>
      <c r="E72" s="139"/>
      <c r="F72" s="139"/>
      <c r="G72" s="139"/>
      <c r="H72" s="139"/>
      <c r="I72" s="139"/>
      <c r="J72" s="140"/>
    </row>
    <row r="73" spans="2:23" ht="18" customHeight="1">
      <c r="B73" s="139"/>
      <c r="C73" s="139"/>
      <c r="D73" s="139"/>
      <c r="E73" s="139"/>
      <c r="F73" s="139"/>
      <c r="G73" s="139"/>
      <c r="H73" s="139"/>
      <c r="I73" s="139"/>
      <c r="J73" s="140"/>
    </row>
    <row r="74" spans="2:23" ht="15" customHeight="1">
      <c r="B74" s="139"/>
      <c r="C74" s="139"/>
      <c r="D74" s="139"/>
      <c r="E74" s="139"/>
      <c r="F74" s="139"/>
      <c r="G74" s="139"/>
      <c r="H74" s="139"/>
      <c r="I74" s="139"/>
      <c r="J74" s="140"/>
      <c r="U74"/>
      <c r="V74"/>
    </row>
    <row r="75" spans="2:23" ht="15" customHeight="1">
      <c r="B75" s="139"/>
      <c r="C75" s="139"/>
      <c r="D75" s="139"/>
      <c r="E75" s="139"/>
      <c r="F75" s="139"/>
      <c r="G75" s="139"/>
      <c r="H75" s="139"/>
      <c r="I75" s="139"/>
      <c r="J75" s="140"/>
      <c r="U75"/>
      <c r="V75"/>
    </row>
    <row r="76" spans="2:23" ht="15" customHeight="1">
      <c r="B76" s="139"/>
      <c r="C76" s="139"/>
      <c r="D76" s="139"/>
      <c r="E76" s="139"/>
      <c r="F76" s="139"/>
      <c r="G76" s="139"/>
      <c r="H76" s="139"/>
      <c r="I76" s="139"/>
      <c r="J76" s="140"/>
      <c r="U76"/>
      <c r="V76"/>
    </row>
    <row r="77" spans="2:23" ht="15" customHeight="1">
      <c r="B77" s="139"/>
      <c r="C77" s="139"/>
      <c r="D77" s="139"/>
      <c r="E77" s="139"/>
      <c r="F77" s="139"/>
      <c r="G77" s="139"/>
      <c r="H77" s="139"/>
      <c r="I77" s="139"/>
      <c r="J77" s="140"/>
      <c r="U77"/>
      <c r="V77"/>
    </row>
    <row r="78" spans="2:23" ht="15.75" customHeight="1">
      <c r="B78" s="139"/>
      <c r="C78" s="139"/>
      <c r="D78" s="139"/>
      <c r="E78" s="139"/>
      <c r="F78" s="139"/>
      <c r="G78" s="139"/>
      <c r="H78" s="139"/>
      <c r="I78" s="139"/>
      <c r="J78" s="140"/>
      <c r="U78"/>
      <c r="V78"/>
    </row>
    <row r="79" spans="2:23" ht="15" customHeight="1">
      <c r="B79" s="139"/>
      <c r="C79" s="139"/>
      <c r="D79" s="139"/>
      <c r="E79" s="139"/>
      <c r="F79" s="139"/>
      <c r="G79" s="139"/>
      <c r="H79" s="139"/>
      <c r="I79" s="139"/>
      <c r="J79" s="140"/>
    </row>
    <row r="80" spans="2:23" ht="15" customHeight="1">
      <c r="B80" s="139"/>
      <c r="C80" s="139"/>
      <c r="D80" s="139"/>
      <c r="E80" s="139"/>
      <c r="F80" s="139"/>
      <c r="G80" s="139"/>
      <c r="H80" s="139"/>
      <c r="I80" s="139"/>
      <c r="J80" s="140"/>
    </row>
    <row r="81" spans="2:11" ht="15" customHeight="1">
      <c r="B81" s="139"/>
      <c r="C81" s="139"/>
      <c r="D81" s="139"/>
      <c r="E81" s="139"/>
      <c r="F81" s="139"/>
      <c r="G81" s="139"/>
      <c r="H81" s="139"/>
      <c r="I81" s="139"/>
      <c r="J81" s="140"/>
    </row>
    <row r="82" spans="2:11" ht="15" customHeight="1">
      <c r="B82" s="139"/>
      <c r="C82" s="139"/>
      <c r="D82" s="139"/>
      <c r="E82" s="139"/>
      <c r="F82" s="139"/>
      <c r="G82" s="139"/>
      <c r="H82" s="139"/>
      <c r="I82" s="139"/>
      <c r="J82" s="140"/>
    </row>
    <row r="83" spans="2:11">
      <c r="B83" s="139"/>
      <c r="C83" s="139"/>
      <c r="D83" s="139"/>
      <c r="E83" s="139"/>
      <c r="F83" s="139"/>
      <c r="G83" s="139"/>
      <c r="H83" s="139"/>
      <c r="I83" s="139"/>
      <c r="J83" s="140"/>
    </row>
    <row r="84" spans="2:11" ht="15" customHeight="1">
      <c r="B84" s="139"/>
      <c r="C84" s="139"/>
      <c r="D84" s="139"/>
      <c r="E84" s="139"/>
      <c r="F84" s="139"/>
      <c r="G84" s="139"/>
      <c r="H84" s="139"/>
      <c r="I84" s="139"/>
      <c r="J84" s="140"/>
    </row>
    <row r="85" spans="2:11" ht="15" customHeight="1">
      <c r="B85" s="139"/>
      <c r="C85" s="139"/>
      <c r="D85" s="139"/>
      <c r="E85" s="139"/>
      <c r="F85" s="139"/>
      <c r="G85" s="139"/>
      <c r="H85" s="139"/>
      <c r="I85" s="139"/>
      <c r="J85" s="140"/>
    </row>
    <row r="86" spans="2:11" ht="15" customHeight="1">
      <c r="B86" s="139"/>
      <c r="C86" s="139"/>
      <c r="D86" s="139"/>
      <c r="E86" s="139"/>
      <c r="F86" s="139"/>
      <c r="G86" s="139"/>
      <c r="H86" s="139"/>
      <c r="I86" s="139"/>
      <c r="J86" s="140"/>
    </row>
    <row r="87" spans="2:11" ht="15" customHeight="1">
      <c r="B87" s="139"/>
      <c r="C87" s="139"/>
      <c r="D87" s="139"/>
      <c r="E87" s="139"/>
      <c r="F87" s="139"/>
      <c r="G87" s="139"/>
      <c r="H87" s="139"/>
      <c r="I87" s="139"/>
      <c r="J87" s="140"/>
    </row>
    <row r="88" spans="2:11" ht="15" customHeight="1">
      <c r="B88" s="139"/>
      <c r="C88" s="139"/>
      <c r="D88" s="139"/>
      <c r="E88" s="139"/>
      <c r="F88" s="139"/>
      <c r="G88" s="139"/>
      <c r="H88" s="139"/>
      <c r="I88" s="139"/>
      <c r="J88" s="140"/>
    </row>
    <row r="89" spans="2:11" ht="15" customHeight="1">
      <c r="B89" s="139"/>
      <c r="C89" s="139"/>
      <c r="D89" s="139"/>
      <c r="E89" s="139"/>
      <c r="F89" s="139"/>
      <c r="G89" s="139"/>
      <c r="H89" s="139"/>
      <c r="I89" s="139"/>
      <c r="J89" s="140"/>
    </row>
    <row r="90" spans="2:11" ht="15" customHeight="1">
      <c r="B90" s="139"/>
      <c r="C90" s="139"/>
      <c r="D90" s="139"/>
      <c r="E90" s="139"/>
      <c r="F90" s="139"/>
      <c r="G90" s="139"/>
      <c r="H90" s="139"/>
      <c r="I90" s="139"/>
      <c r="J90" s="140"/>
    </row>
    <row r="91" spans="2:11" ht="15" customHeight="1">
      <c r="B91" s="139"/>
      <c r="C91" s="139"/>
      <c r="D91" s="139"/>
      <c r="E91" s="139"/>
      <c r="F91" s="139"/>
      <c r="G91" s="139"/>
      <c r="H91" s="139"/>
      <c r="I91" s="139"/>
      <c r="J91" s="140"/>
    </row>
    <row r="92" spans="2:11" ht="15" customHeight="1">
      <c r="B92" s="139"/>
      <c r="C92" s="139"/>
      <c r="D92" s="139"/>
      <c r="E92" s="139"/>
      <c r="F92" s="139"/>
      <c r="G92" s="139"/>
      <c r="H92" s="139"/>
      <c r="I92" s="139"/>
      <c r="J92" s="140"/>
    </row>
    <row r="93" spans="2:11" ht="15" customHeight="1">
      <c r="B93" s="139"/>
      <c r="C93" s="139"/>
      <c r="D93" s="139"/>
      <c r="E93" s="139"/>
      <c r="F93" s="139"/>
      <c r="G93" s="139"/>
      <c r="H93" s="139"/>
      <c r="I93" s="139"/>
      <c r="J93" s="140"/>
    </row>
    <row r="94" spans="2:11" ht="15" customHeight="1">
      <c r="B94" s="139"/>
      <c r="C94" s="139"/>
      <c r="D94" s="139"/>
      <c r="E94" s="139"/>
      <c r="F94" s="139"/>
      <c r="G94" s="139"/>
      <c r="H94" s="139"/>
      <c r="I94" s="139"/>
      <c r="J94" s="140"/>
    </row>
    <row r="95" spans="2:11" ht="15" customHeight="1">
      <c r="B95" s="139"/>
      <c r="C95" s="139"/>
      <c r="D95" s="139"/>
      <c r="E95" s="139"/>
      <c r="F95" s="139"/>
      <c r="G95" s="139"/>
      <c r="H95" s="139"/>
      <c r="I95" s="139"/>
      <c r="J95" s="140"/>
    </row>
    <row r="96" spans="2:11" ht="15" customHeight="1">
      <c r="J96" s="2"/>
      <c r="K96" s="1" t="str">
        <f t="shared" ref="K96:K132" si="8">A96&amp;J96</f>
        <v/>
      </c>
    </row>
    <row r="97" spans="10:11" ht="15" customHeight="1">
      <c r="J97" s="2"/>
      <c r="K97" s="1" t="str">
        <f t="shared" si="8"/>
        <v/>
      </c>
    </row>
    <row r="98" spans="10:11" ht="15" customHeight="1">
      <c r="J98" s="2"/>
      <c r="K98" s="1" t="str">
        <f t="shared" si="8"/>
        <v/>
      </c>
    </row>
    <row r="99" spans="10:11">
      <c r="K99" s="1" t="str">
        <f t="shared" si="8"/>
        <v/>
      </c>
    </row>
    <row r="100" spans="10:11" ht="15" customHeight="1">
      <c r="J100" s="2"/>
      <c r="K100" s="1" t="str">
        <f t="shared" si="8"/>
        <v/>
      </c>
    </row>
    <row r="101" spans="10:11" ht="15" customHeight="1">
      <c r="J101" s="2"/>
      <c r="K101" s="1" t="str">
        <f t="shared" si="8"/>
        <v/>
      </c>
    </row>
    <row r="102" spans="10:11" ht="15" customHeight="1">
      <c r="J102" s="2"/>
      <c r="K102" s="1" t="str">
        <f t="shared" si="8"/>
        <v/>
      </c>
    </row>
    <row r="103" spans="10:11" ht="15" customHeight="1">
      <c r="J103" s="2"/>
      <c r="K103" s="1" t="str">
        <f t="shared" si="8"/>
        <v/>
      </c>
    </row>
    <row r="104" spans="10:11" ht="15" customHeight="1">
      <c r="J104" s="2"/>
      <c r="K104" s="1" t="str">
        <f t="shared" si="8"/>
        <v/>
      </c>
    </row>
    <row r="105" spans="10:11" ht="15" customHeight="1">
      <c r="J105" s="2"/>
      <c r="K105" s="1" t="str">
        <f t="shared" si="8"/>
        <v/>
      </c>
    </row>
    <row r="106" spans="10:11" ht="15" customHeight="1">
      <c r="J106" s="2"/>
      <c r="K106" s="1" t="str">
        <f t="shared" si="8"/>
        <v/>
      </c>
    </row>
    <row r="107" spans="10:11" ht="15" customHeight="1">
      <c r="J107" s="2"/>
      <c r="K107" s="1" t="str">
        <f t="shared" si="8"/>
        <v/>
      </c>
    </row>
    <row r="108" spans="10:11" ht="15" customHeight="1">
      <c r="J108" s="2"/>
      <c r="K108" s="1" t="str">
        <f t="shared" si="8"/>
        <v/>
      </c>
    </row>
    <row r="109" spans="10:11" ht="15" customHeight="1">
      <c r="J109" s="2"/>
      <c r="K109" s="1" t="str">
        <f t="shared" si="8"/>
        <v/>
      </c>
    </row>
    <row r="110" spans="10:11" ht="15" customHeight="1">
      <c r="J110" s="2"/>
      <c r="K110" s="1" t="str">
        <f t="shared" si="8"/>
        <v/>
      </c>
    </row>
    <row r="111" spans="10:11" ht="15" customHeight="1">
      <c r="J111" s="2"/>
      <c r="K111" s="1" t="str">
        <f t="shared" si="8"/>
        <v/>
      </c>
    </row>
    <row r="112" spans="10:11" ht="15" customHeight="1">
      <c r="J112" s="2"/>
      <c r="K112" s="1" t="str">
        <f t="shared" si="8"/>
        <v/>
      </c>
    </row>
    <row r="113" spans="10:11" ht="15" customHeight="1">
      <c r="J113" s="2"/>
      <c r="K113" s="1" t="str">
        <f t="shared" si="8"/>
        <v/>
      </c>
    </row>
    <row r="114" spans="10:11" ht="15" customHeight="1">
      <c r="J114" s="2"/>
      <c r="K114" s="1" t="str">
        <f t="shared" si="8"/>
        <v/>
      </c>
    </row>
    <row r="115" spans="10:11">
      <c r="K115" s="1" t="str">
        <f t="shared" si="8"/>
        <v/>
      </c>
    </row>
    <row r="116" spans="10:11" ht="15" customHeight="1">
      <c r="J116" s="2"/>
      <c r="K116" s="1" t="str">
        <f t="shared" si="8"/>
        <v/>
      </c>
    </row>
    <row r="117" spans="10:11" ht="15" customHeight="1">
      <c r="J117" s="2"/>
      <c r="K117" s="1" t="str">
        <f t="shared" si="8"/>
        <v/>
      </c>
    </row>
    <row r="118" spans="10:11" ht="15" customHeight="1">
      <c r="J118" s="2"/>
      <c r="K118" s="1" t="str">
        <f t="shared" si="8"/>
        <v/>
      </c>
    </row>
    <row r="119" spans="10:11" ht="15" customHeight="1">
      <c r="J119" s="2"/>
      <c r="K119" s="1" t="str">
        <f t="shared" si="8"/>
        <v/>
      </c>
    </row>
    <row r="120" spans="10:11" ht="15" customHeight="1">
      <c r="J120" s="2"/>
      <c r="K120" s="1" t="str">
        <f t="shared" si="8"/>
        <v/>
      </c>
    </row>
    <row r="121" spans="10:11" ht="15" customHeight="1">
      <c r="J121" s="2"/>
      <c r="K121" s="1" t="str">
        <f t="shared" si="8"/>
        <v/>
      </c>
    </row>
    <row r="122" spans="10:11" ht="15" customHeight="1">
      <c r="J122" s="2"/>
      <c r="K122" s="1" t="str">
        <f t="shared" si="8"/>
        <v/>
      </c>
    </row>
    <row r="123" spans="10:11" ht="15" customHeight="1">
      <c r="J123" s="2"/>
      <c r="K123" s="1" t="str">
        <f t="shared" si="8"/>
        <v/>
      </c>
    </row>
    <row r="124" spans="10:11" ht="15" customHeight="1">
      <c r="J124" s="2"/>
      <c r="K124" s="1" t="str">
        <f t="shared" si="8"/>
        <v/>
      </c>
    </row>
    <row r="125" spans="10:11" ht="15" customHeight="1">
      <c r="J125" s="2"/>
      <c r="K125" s="1" t="str">
        <f t="shared" si="8"/>
        <v/>
      </c>
    </row>
    <row r="126" spans="10:11" ht="15" customHeight="1">
      <c r="J126" s="2"/>
      <c r="K126" s="1" t="str">
        <f t="shared" si="8"/>
        <v/>
      </c>
    </row>
    <row r="127" spans="10:11" ht="15" customHeight="1">
      <c r="J127" s="2"/>
      <c r="K127" s="1" t="str">
        <f t="shared" si="8"/>
        <v/>
      </c>
    </row>
    <row r="128" spans="10:11" ht="15" customHeight="1">
      <c r="J128" s="2"/>
      <c r="K128" s="1" t="str">
        <f t="shared" si="8"/>
        <v/>
      </c>
    </row>
    <row r="129" spans="10:11" ht="15" customHeight="1">
      <c r="J129" s="2"/>
      <c r="K129" s="1" t="str">
        <f t="shared" si="8"/>
        <v/>
      </c>
    </row>
    <row r="130" spans="10:11" ht="15" customHeight="1">
      <c r="J130" s="2"/>
      <c r="K130" s="1" t="str">
        <f t="shared" si="8"/>
        <v/>
      </c>
    </row>
    <row r="131" spans="10:11">
      <c r="K131" s="1" t="str">
        <f t="shared" si="8"/>
        <v/>
      </c>
    </row>
    <row r="132" spans="10:11" ht="15" customHeight="1">
      <c r="J132" s="2"/>
      <c r="K132" s="1" t="str">
        <f t="shared" si="8"/>
        <v/>
      </c>
    </row>
    <row r="133" spans="10:11" ht="15" customHeight="1">
      <c r="J133" s="2"/>
      <c r="K133" s="1" t="str">
        <f t="shared" ref="K133:K196" si="9">A133&amp;J133</f>
        <v/>
      </c>
    </row>
    <row r="134" spans="10:11" ht="15" customHeight="1">
      <c r="J134" s="2"/>
      <c r="K134" s="1" t="str">
        <f t="shared" si="9"/>
        <v/>
      </c>
    </row>
    <row r="135" spans="10:11" ht="15" customHeight="1">
      <c r="J135" s="2"/>
      <c r="K135" s="1" t="str">
        <f t="shared" si="9"/>
        <v/>
      </c>
    </row>
    <row r="136" spans="10:11" ht="15" customHeight="1">
      <c r="J136" s="2"/>
      <c r="K136" s="1" t="str">
        <f t="shared" si="9"/>
        <v/>
      </c>
    </row>
    <row r="137" spans="10:11" ht="15" customHeight="1">
      <c r="J137" s="2"/>
      <c r="K137" s="1" t="str">
        <f t="shared" si="9"/>
        <v/>
      </c>
    </row>
    <row r="138" spans="10:11" ht="15" customHeight="1">
      <c r="J138" s="2"/>
      <c r="K138" s="1" t="str">
        <f t="shared" si="9"/>
        <v/>
      </c>
    </row>
    <row r="139" spans="10:11" ht="15" customHeight="1">
      <c r="J139" s="2"/>
      <c r="K139" s="1" t="str">
        <f t="shared" si="9"/>
        <v/>
      </c>
    </row>
    <row r="140" spans="10:11" ht="15" customHeight="1">
      <c r="J140" s="2"/>
      <c r="K140" s="1" t="str">
        <f t="shared" si="9"/>
        <v/>
      </c>
    </row>
    <row r="141" spans="10:11" ht="15" customHeight="1">
      <c r="J141" s="2"/>
      <c r="K141" s="1" t="str">
        <f t="shared" si="9"/>
        <v/>
      </c>
    </row>
    <row r="142" spans="10:11" ht="15" customHeight="1">
      <c r="J142" s="2"/>
      <c r="K142" s="1" t="str">
        <f t="shared" si="9"/>
        <v/>
      </c>
    </row>
    <row r="143" spans="10:11" ht="15" customHeight="1">
      <c r="J143" s="2"/>
      <c r="K143" s="1" t="str">
        <f t="shared" si="9"/>
        <v/>
      </c>
    </row>
    <row r="144" spans="10:11" ht="15" customHeight="1">
      <c r="J144" s="2"/>
      <c r="K144" s="1" t="str">
        <f t="shared" si="9"/>
        <v/>
      </c>
    </row>
    <row r="145" spans="10:11" ht="15" customHeight="1">
      <c r="J145" s="2"/>
      <c r="K145" s="1" t="str">
        <f t="shared" si="9"/>
        <v/>
      </c>
    </row>
    <row r="146" spans="10:11" ht="15" customHeight="1">
      <c r="J146" s="2"/>
      <c r="K146" s="1" t="str">
        <f t="shared" si="9"/>
        <v/>
      </c>
    </row>
    <row r="147" spans="10:11">
      <c r="K147" s="1" t="str">
        <f t="shared" si="9"/>
        <v/>
      </c>
    </row>
    <row r="148" spans="10:11" ht="15" customHeight="1">
      <c r="J148" s="2"/>
      <c r="K148" s="1" t="str">
        <f t="shared" si="9"/>
        <v/>
      </c>
    </row>
    <row r="149" spans="10:11" ht="15" customHeight="1">
      <c r="J149" s="2"/>
      <c r="K149" s="1" t="str">
        <f t="shared" si="9"/>
        <v/>
      </c>
    </row>
    <row r="150" spans="10:11" ht="15" customHeight="1">
      <c r="J150" s="2"/>
      <c r="K150" s="1" t="str">
        <f t="shared" si="9"/>
        <v/>
      </c>
    </row>
    <row r="151" spans="10:11" ht="15" customHeight="1">
      <c r="J151" s="2"/>
      <c r="K151" s="1" t="str">
        <f t="shared" si="9"/>
        <v/>
      </c>
    </row>
    <row r="152" spans="10:11" ht="15" customHeight="1">
      <c r="J152" s="2"/>
      <c r="K152" s="1" t="str">
        <f t="shared" si="9"/>
        <v/>
      </c>
    </row>
    <row r="153" spans="10:11" ht="15" customHeight="1">
      <c r="J153" s="2"/>
      <c r="K153" s="1" t="str">
        <f t="shared" si="9"/>
        <v/>
      </c>
    </row>
    <row r="154" spans="10:11" ht="15" customHeight="1">
      <c r="J154" s="2"/>
      <c r="K154" s="1" t="str">
        <f t="shared" si="9"/>
        <v/>
      </c>
    </row>
    <row r="155" spans="10:11" ht="15" customHeight="1">
      <c r="J155" s="2"/>
      <c r="K155" s="1" t="str">
        <f t="shared" si="9"/>
        <v/>
      </c>
    </row>
    <row r="156" spans="10:11" ht="15" customHeight="1">
      <c r="J156" s="2"/>
      <c r="K156" s="1" t="str">
        <f t="shared" si="9"/>
        <v/>
      </c>
    </row>
    <row r="157" spans="10:11" ht="15" customHeight="1">
      <c r="J157" s="2"/>
      <c r="K157" s="1" t="str">
        <f t="shared" si="9"/>
        <v/>
      </c>
    </row>
    <row r="158" spans="10:11" ht="15" customHeight="1">
      <c r="J158" s="2"/>
      <c r="K158" s="1" t="str">
        <f t="shared" si="9"/>
        <v/>
      </c>
    </row>
    <row r="159" spans="10:11" ht="15" customHeight="1">
      <c r="J159" s="2"/>
      <c r="K159" s="1" t="str">
        <f t="shared" si="9"/>
        <v/>
      </c>
    </row>
    <row r="160" spans="10:11" ht="15" customHeight="1">
      <c r="J160" s="2"/>
      <c r="K160" s="1" t="str">
        <f t="shared" si="9"/>
        <v/>
      </c>
    </row>
    <row r="161" spans="10:11" ht="15" customHeight="1">
      <c r="J161" s="2"/>
      <c r="K161" s="1" t="str">
        <f t="shared" si="9"/>
        <v/>
      </c>
    </row>
    <row r="162" spans="10:11" ht="15" customHeight="1">
      <c r="J162" s="2"/>
      <c r="K162" s="1" t="str">
        <f t="shared" si="9"/>
        <v/>
      </c>
    </row>
    <row r="163" spans="10:11">
      <c r="K163" s="1" t="str">
        <f t="shared" si="9"/>
        <v/>
      </c>
    </row>
    <row r="164" spans="10:11" ht="15" customHeight="1">
      <c r="J164" s="2"/>
      <c r="K164" s="1" t="str">
        <f t="shared" si="9"/>
        <v/>
      </c>
    </row>
    <row r="165" spans="10:11" ht="15" customHeight="1">
      <c r="J165" s="2"/>
      <c r="K165" s="1" t="str">
        <f t="shared" si="9"/>
        <v/>
      </c>
    </row>
    <row r="166" spans="10:11" ht="15" customHeight="1">
      <c r="J166" s="2"/>
      <c r="K166" s="1" t="str">
        <f t="shared" si="9"/>
        <v/>
      </c>
    </row>
    <row r="167" spans="10:11" ht="15" customHeight="1">
      <c r="J167" s="2"/>
      <c r="K167" s="1" t="str">
        <f t="shared" si="9"/>
        <v/>
      </c>
    </row>
    <row r="168" spans="10:11" ht="15" customHeight="1">
      <c r="J168" s="2"/>
      <c r="K168" s="1" t="str">
        <f t="shared" si="9"/>
        <v/>
      </c>
    </row>
    <row r="169" spans="10:11" ht="15" customHeight="1">
      <c r="J169" s="2"/>
      <c r="K169" s="1" t="str">
        <f t="shared" si="9"/>
        <v/>
      </c>
    </row>
    <row r="170" spans="10:11" ht="15" customHeight="1">
      <c r="J170" s="2"/>
      <c r="K170" s="1" t="str">
        <f t="shared" si="9"/>
        <v/>
      </c>
    </row>
    <row r="171" spans="10:11" ht="15" customHeight="1">
      <c r="J171" s="2"/>
      <c r="K171" s="1" t="str">
        <f t="shared" si="9"/>
        <v/>
      </c>
    </row>
    <row r="172" spans="10:11" ht="15" customHeight="1">
      <c r="J172" s="2"/>
      <c r="K172" s="1" t="str">
        <f t="shared" si="9"/>
        <v/>
      </c>
    </row>
    <row r="173" spans="10:11" ht="15" customHeight="1">
      <c r="J173" s="2"/>
      <c r="K173" s="1" t="str">
        <f t="shared" si="9"/>
        <v/>
      </c>
    </row>
    <row r="174" spans="10:11" ht="15" customHeight="1">
      <c r="J174" s="2"/>
      <c r="K174" s="1" t="str">
        <f t="shared" si="9"/>
        <v/>
      </c>
    </row>
    <row r="175" spans="10:11" ht="15" customHeight="1">
      <c r="J175" s="2"/>
      <c r="K175" s="1" t="str">
        <f t="shared" si="9"/>
        <v/>
      </c>
    </row>
    <row r="176" spans="10:11" ht="15" customHeight="1">
      <c r="J176" s="2"/>
      <c r="K176" s="1" t="str">
        <f t="shared" si="9"/>
        <v/>
      </c>
    </row>
    <row r="177" spans="10:11" ht="15" customHeight="1">
      <c r="J177" s="2"/>
      <c r="K177" s="1" t="str">
        <f t="shared" si="9"/>
        <v/>
      </c>
    </row>
    <row r="178" spans="10:11" ht="15" customHeight="1">
      <c r="J178" s="2"/>
      <c r="K178" s="1" t="str">
        <f t="shared" si="9"/>
        <v/>
      </c>
    </row>
    <row r="179" spans="10:11">
      <c r="K179" s="1" t="str">
        <f t="shared" si="9"/>
        <v/>
      </c>
    </row>
    <row r="180" spans="10:11" ht="15" customHeight="1">
      <c r="J180" s="2"/>
      <c r="K180" s="1" t="str">
        <f t="shared" si="9"/>
        <v/>
      </c>
    </row>
    <row r="181" spans="10:11" ht="15" customHeight="1">
      <c r="J181" s="2"/>
      <c r="K181" s="1" t="str">
        <f t="shared" si="9"/>
        <v/>
      </c>
    </row>
    <row r="182" spans="10:11" ht="15" customHeight="1">
      <c r="J182" s="2"/>
      <c r="K182" s="1" t="str">
        <f t="shared" si="9"/>
        <v/>
      </c>
    </row>
    <row r="183" spans="10:11" ht="15" customHeight="1">
      <c r="J183" s="2"/>
      <c r="K183" s="1" t="str">
        <f t="shared" si="9"/>
        <v/>
      </c>
    </row>
    <row r="184" spans="10:11" ht="15" customHeight="1">
      <c r="J184" s="2"/>
      <c r="K184" s="1" t="str">
        <f t="shared" si="9"/>
        <v/>
      </c>
    </row>
    <row r="185" spans="10:11" ht="15" customHeight="1">
      <c r="J185" s="2"/>
      <c r="K185" s="1" t="str">
        <f t="shared" si="9"/>
        <v/>
      </c>
    </row>
    <row r="186" spans="10:11" ht="15" customHeight="1">
      <c r="J186" s="2"/>
      <c r="K186" s="1" t="str">
        <f t="shared" si="9"/>
        <v/>
      </c>
    </row>
    <row r="187" spans="10:11" ht="15" customHeight="1">
      <c r="J187" s="2"/>
      <c r="K187" s="1" t="str">
        <f t="shared" si="9"/>
        <v/>
      </c>
    </row>
    <row r="188" spans="10:11" ht="15" customHeight="1">
      <c r="J188" s="2"/>
      <c r="K188" s="1" t="str">
        <f t="shared" si="9"/>
        <v/>
      </c>
    </row>
    <row r="189" spans="10:11" ht="15" customHeight="1">
      <c r="J189" s="2"/>
      <c r="K189" s="1" t="str">
        <f t="shared" si="9"/>
        <v/>
      </c>
    </row>
    <row r="190" spans="10:11" ht="15" customHeight="1">
      <c r="J190" s="2"/>
      <c r="K190" s="1" t="str">
        <f t="shared" si="9"/>
        <v/>
      </c>
    </row>
    <row r="191" spans="10:11" ht="15" customHeight="1">
      <c r="J191" s="2"/>
      <c r="K191" s="1" t="str">
        <f t="shared" si="9"/>
        <v/>
      </c>
    </row>
    <row r="192" spans="10:11" ht="15" customHeight="1">
      <c r="J192" s="2"/>
      <c r="K192" s="1" t="str">
        <f t="shared" si="9"/>
        <v/>
      </c>
    </row>
    <row r="193" spans="10:11" ht="15" customHeight="1">
      <c r="J193" s="2"/>
      <c r="K193" s="1" t="str">
        <f t="shared" si="9"/>
        <v/>
      </c>
    </row>
    <row r="194" spans="10:11" ht="15" customHeight="1">
      <c r="J194" s="2"/>
      <c r="K194" s="1" t="str">
        <f t="shared" si="9"/>
        <v/>
      </c>
    </row>
    <row r="195" spans="10:11">
      <c r="K195" s="1" t="str">
        <f t="shared" si="9"/>
        <v/>
      </c>
    </row>
    <row r="196" spans="10:11" ht="15" customHeight="1">
      <c r="J196" s="2"/>
      <c r="K196" s="1" t="str">
        <f t="shared" si="9"/>
        <v/>
      </c>
    </row>
    <row r="197" spans="10:11" ht="15" customHeight="1">
      <c r="J197" s="2"/>
      <c r="K197" s="1" t="str">
        <f t="shared" ref="K197:K260" si="10">A197&amp;J197</f>
        <v/>
      </c>
    </row>
    <row r="198" spans="10:11" ht="15" customHeight="1">
      <c r="J198" s="2"/>
      <c r="K198" s="1" t="str">
        <f t="shared" si="10"/>
        <v/>
      </c>
    </row>
    <row r="199" spans="10:11" ht="15" customHeight="1">
      <c r="J199" s="2"/>
      <c r="K199" s="1" t="str">
        <f t="shared" si="10"/>
        <v/>
      </c>
    </row>
    <row r="200" spans="10:11" ht="15" customHeight="1">
      <c r="J200" s="2"/>
      <c r="K200" s="1" t="str">
        <f t="shared" si="10"/>
        <v/>
      </c>
    </row>
    <row r="201" spans="10:11" ht="15" customHeight="1">
      <c r="J201" s="2"/>
      <c r="K201" s="1" t="str">
        <f t="shared" si="10"/>
        <v/>
      </c>
    </row>
    <row r="202" spans="10:11" ht="15" customHeight="1">
      <c r="J202" s="2"/>
      <c r="K202" s="1" t="str">
        <f t="shared" si="10"/>
        <v/>
      </c>
    </row>
    <row r="203" spans="10:11" ht="15" customHeight="1">
      <c r="J203" s="2"/>
      <c r="K203" s="1" t="str">
        <f t="shared" si="10"/>
        <v/>
      </c>
    </row>
    <row r="204" spans="10:11" ht="15" customHeight="1">
      <c r="J204" s="2"/>
      <c r="K204" s="1" t="str">
        <f t="shared" si="10"/>
        <v/>
      </c>
    </row>
    <row r="205" spans="10:11" ht="15" customHeight="1">
      <c r="J205" s="2"/>
      <c r="K205" s="1" t="str">
        <f t="shared" si="10"/>
        <v/>
      </c>
    </row>
    <row r="206" spans="10:11" ht="15" customHeight="1">
      <c r="J206" s="2"/>
      <c r="K206" s="1" t="str">
        <f t="shared" si="10"/>
        <v/>
      </c>
    </row>
    <row r="207" spans="10:11" ht="15" customHeight="1">
      <c r="J207" s="2"/>
      <c r="K207" s="1" t="str">
        <f t="shared" si="10"/>
        <v/>
      </c>
    </row>
    <row r="208" spans="10:11" ht="15" customHeight="1">
      <c r="J208" s="2"/>
      <c r="K208" s="1" t="str">
        <f t="shared" si="10"/>
        <v/>
      </c>
    </row>
    <row r="209" spans="10:11" ht="15" customHeight="1">
      <c r="J209" s="2"/>
      <c r="K209" s="1" t="str">
        <f t="shared" si="10"/>
        <v/>
      </c>
    </row>
    <row r="210" spans="10:11" ht="15" customHeight="1">
      <c r="J210" s="2"/>
      <c r="K210" s="1" t="str">
        <f t="shared" si="10"/>
        <v/>
      </c>
    </row>
    <row r="211" spans="10:11">
      <c r="K211" s="1" t="str">
        <f t="shared" si="10"/>
        <v/>
      </c>
    </row>
    <row r="212" spans="10:11" ht="15" customHeight="1">
      <c r="J212" s="2"/>
      <c r="K212" s="1" t="str">
        <f t="shared" si="10"/>
        <v/>
      </c>
    </row>
    <row r="213" spans="10:11" ht="15" customHeight="1">
      <c r="J213" s="2"/>
      <c r="K213" s="1" t="str">
        <f t="shared" si="10"/>
        <v/>
      </c>
    </row>
    <row r="214" spans="10:11" ht="15" customHeight="1">
      <c r="J214" s="2"/>
      <c r="K214" s="1" t="str">
        <f t="shared" si="10"/>
        <v/>
      </c>
    </row>
    <row r="215" spans="10:11" ht="15" customHeight="1">
      <c r="J215" s="2"/>
      <c r="K215" s="1" t="str">
        <f t="shared" si="10"/>
        <v/>
      </c>
    </row>
    <row r="216" spans="10:11" ht="15" customHeight="1">
      <c r="J216" s="2"/>
      <c r="K216" s="1" t="str">
        <f t="shared" si="10"/>
        <v/>
      </c>
    </row>
    <row r="217" spans="10:11" ht="15" customHeight="1">
      <c r="J217" s="2"/>
      <c r="K217" s="1" t="str">
        <f t="shared" si="10"/>
        <v/>
      </c>
    </row>
    <row r="218" spans="10:11" ht="15" customHeight="1">
      <c r="J218" s="2"/>
      <c r="K218" s="1" t="str">
        <f t="shared" si="10"/>
        <v/>
      </c>
    </row>
    <row r="219" spans="10:11" ht="15" customHeight="1">
      <c r="J219" s="2"/>
      <c r="K219" s="1" t="str">
        <f t="shared" si="10"/>
        <v/>
      </c>
    </row>
    <row r="220" spans="10:11" ht="15" customHeight="1">
      <c r="J220" s="2"/>
      <c r="K220" s="1" t="str">
        <f t="shared" si="10"/>
        <v/>
      </c>
    </row>
    <row r="221" spans="10:11" ht="15" customHeight="1">
      <c r="J221" s="2"/>
      <c r="K221" s="1" t="str">
        <f t="shared" si="10"/>
        <v/>
      </c>
    </row>
    <row r="222" spans="10:11" ht="15" customHeight="1">
      <c r="J222" s="2"/>
      <c r="K222" s="1" t="str">
        <f t="shared" si="10"/>
        <v/>
      </c>
    </row>
    <row r="223" spans="10:11" ht="15" customHeight="1">
      <c r="J223" s="2"/>
      <c r="K223" s="1" t="str">
        <f t="shared" si="10"/>
        <v/>
      </c>
    </row>
    <row r="224" spans="10:11" ht="15" customHeight="1">
      <c r="J224" s="2"/>
      <c r="K224" s="1" t="str">
        <f t="shared" si="10"/>
        <v/>
      </c>
    </row>
    <row r="225" spans="10:11" ht="15" customHeight="1">
      <c r="J225" s="2"/>
      <c r="K225" s="1" t="str">
        <f t="shared" si="10"/>
        <v/>
      </c>
    </row>
    <row r="226" spans="10:11" ht="15" customHeight="1">
      <c r="J226" s="2"/>
      <c r="K226" s="1" t="str">
        <f t="shared" si="10"/>
        <v/>
      </c>
    </row>
    <row r="227" spans="10:11">
      <c r="K227" s="1" t="str">
        <f t="shared" si="10"/>
        <v/>
      </c>
    </row>
    <row r="228" spans="10:11" ht="15" customHeight="1">
      <c r="J228" s="2"/>
      <c r="K228" s="1" t="str">
        <f t="shared" si="10"/>
        <v/>
      </c>
    </row>
    <row r="229" spans="10:11" ht="15" customHeight="1">
      <c r="J229" s="2"/>
      <c r="K229" s="1" t="str">
        <f t="shared" si="10"/>
        <v/>
      </c>
    </row>
    <row r="230" spans="10:11" ht="15" customHeight="1">
      <c r="J230" s="2"/>
      <c r="K230" s="1" t="str">
        <f t="shared" si="10"/>
        <v/>
      </c>
    </row>
    <row r="231" spans="10:11" ht="15" customHeight="1">
      <c r="J231" s="2"/>
      <c r="K231" s="1" t="str">
        <f t="shared" si="10"/>
        <v/>
      </c>
    </row>
    <row r="232" spans="10:11" ht="15" customHeight="1">
      <c r="J232" s="2"/>
      <c r="K232" s="1" t="str">
        <f t="shared" si="10"/>
        <v/>
      </c>
    </row>
    <row r="233" spans="10:11" ht="15" customHeight="1">
      <c r="J233" s="2"/>
      <c r="K233" s="1" t="str">
        <f t="shared" si="10"/>
        <v/>
      </c>
    </row>
    <row r="234" spans="10:11" ht="15" customHeight="1">
      <c r="J234" s="2"/>
      <c r="K234" s="1" t="str">
        <f t="shared" si="10"/>
        <v/>
      </c>
    </row>
    <row r="235" spans="10:11" ht="15" customHeight="1">
      <c r="J235" s="2"/>
      <c r="K235" s="1" t="str">
        <f t="shared" si="10"/>
        <v/>
      </c>
    </row>
    <row r="236" spans="10:11" ht="15" customHeight="1">
      <c r="J236" s="2"/>
      <c r="K236" s="1" t="str">
        <f t="shared" si="10"/>
        <v/>
      </c>
    </row>
    <row r="237" spans="10:11" ht="15" customHeight="1">
      <c r="J237" s="2"/>
      <c r="K237" s="1" t="str">
        <f t="shared" si="10"/>
        <v/>
      </c>
    </row>
    <row r="238" spans="10:11" ht="15" customHeight="1">
      <c r="J238" s="2"/>
      <c r="K238" s="1" t="str">
        <f t="shared" si="10"/>
        <v/>
      </c>
    </row>
    <row r="239" spans="10:11" ht="15" customHeight="1">
      <c r="J239" s="2"/>
      <c r="K239" s="1" t="str">
        <f t="shared" si="10"/>
        <v/>
      </c>
    </row>
    <row r="240" spans="10:11" ht="15" customHeight="1">
      <c r="J240" s="2"/>
      <c r="K240" s="1" t="str">
        <f t="shared" si="10"/>
        <v/>
      </c>
    </row>
    <row r="241" spans="10:11" ht="15" customHeight="1">
      <c r="J241" s="2"/>
      <c r="K241" s="1" t="str">
        <f t="shared" si="10"/>
        <v/>
      </c>
    </row>
    <row r="242" spans="10:11" ht="15" customHeight="1">
      <c r="J242" s="2"/>
      <c r="K242" s="1" t="str">
        <f t="shared" si="10"/>
        <v/>
      </c>
    </row>
    <row r="243" spans="10:11">
      <c r="K243" s="1" t="str">
        <f t="shared" si="10"/>
        <v/>
      </c>
    </row>
    <row r="244" spans="10:11" ht="15" customHeight="1">
      <c r="J244" s="2"/>
      <c r="K244" s="1" t="str">
        <f t="shared" si="10"/>
        <v/>
      </c>
    </row>
    <row r="245" spans="10:11" ht="15" customHeight="1">
      <c r="J245" s="2"/>
      <c r="K245" s="1" t="str">
        <f t="shared" si="10"/>
        <v/>
      </c>
    </row>
    <row r="246" spans="10:11" ht="15" customHeight="1">
      <c r="J246" s="2"/>
      <c r="K246" s="1" t="str">
        <f t="shared" si="10"/>
        <v/>
      </c>
    </row>
    <row r="247" spans="10:11" ht="15" customHeight="1">
      <c r="J247" s="2"/>
      <c r="K247" s="1" t="str">
        <f t="shared" si="10"/>
        <v/>
      </c>
    </row>
    <row r="248" spans="10:11" ht="15" customHeight="1">
      <c r="J248" s="2"/>
      <c r="K248" s="1" t="str">
        <f t="shared" si="10"/>
        <v/>
      </c>
    </row>
    <row r="249" spans="10:11" ht="15" customHeight="1">
      <c r="J249" s="2"/>
      <c r="K249" s="1" t="str">
        <f t="shared" si="10"/>
        <v/>
      </c>
    </row>
    <row r="250" spans="10:11" ht="15" customHeight="1">
      <c r="J250" s="2"/>
      <c r="K250" s="1" t="str">
        <f t="shared" si="10"/>
        <v/>
      </c>
    </row>
    <row r="251" spans="10:11" ht="15" customHeight="1">
      <c r="J251" s="2"/>
      <c r="K251" s="1" t="str">
        <f t="shared" si="10"/>
        <v/>
      </c>
    </row>
    <row r="252" spans="10:11" ht="15" customHeight="1">
      <c r="J252" s="2"/>
      <c r="K252" s="1" t="str">
        <f t="shared" si="10"/>
        <v/>
      </c>
    </row>
    <row r="253" spans="10:11" ht="15" customHeight="1">
      <c r="J253" s="2"/>
      <c r="K253" s="1" t="str">
        <f t="shared" si="10"/>
        <v/>
      </c>
    </row>
    <row r="254" spans="10:11" ht="15" customHeight="1">
      <c r="J254" s="2"/>
      <c r="K254" s="1" t="str">
        <f t="shared" si="10"/>
        <v/>
      </c>
    </row>
    <row r="255" spans="10:11" ht="15" customHeight="1">
      <c r="J255" s="2"/>
      <c r="K255" s="1" t="str">
        <f t="shared" si="10"/>
        <v/>
      </c>
    </row>
    <row r="256" spans="10:11" ht="15" customHeight="1">
      <c r="J256" s="2"/>
      <c r="K256" s="1" t="str">
        <f t="shared" si="10"/>
        <v/>
      </c>
    </row>
    <row r="257" spans="10:11" ht="15" customHeight="1">
      <c r="J257" s="2"/>
      <c r="K257" s="1" t="str">
        <f t="shared" si="10"/>
        <v/>
      </c>
    </row>
    <row r="258" spans="10:11" ht="15" customHeight="1">
      <c r="J258" s="2"/>
      <c r="K258" s="1" t="str">
        <f t="shared" si="10"/>
        <v/>
      </c>
    </row>
    <row r="259" spans="10:11">
      <c r="K259" s="1" t="str">
        <f t="shared" si="10"/>
        <v/>
      </c>
    </row>
    <row r="260" spans="10:11" ht="15" customHeight="1">
      <c r="J260" s="2"/>
      <c r="K260" s="1" t="str">
        <f t="shared" si="10"/>
        <v/>
      </c>
    </row>
    <row r="261" spans="10:11" ht="15" customHeight="1">
      <c r="J261" s="2"/>
      <c r="K261" s="1" t="str">
        <f t="shared" ref="K261:K290" si="11">A261&amp;J261</f>
        <v/>
      </c>
    </row>
    <row r="262" spans="10:11" ht="15" customHeight="1">
      <c r="J262" s="2"/>
      <c r="K262" s="1" t="str">
        <f t="shared" si="11"/>
        <v/>
      </c>
    </row>
    <row r="263" spans="10:11" ht="15" customHeight="1">
      <c r="J263" s="2"/>
      <c r="K263" s="1" t="str">
        <f t="shared" si="11"/>
        <v/>
      </c>
    </row>
    <row r="264" spans="10:11" ht="15" customHeight="1">
      <c r="J264" s="2"/>
      <c r="K264" s="1" t="str">
        <f t="shared" si="11"/>
        <v/>
      </c>
    </row>
    <row r="265" spans="10:11" ht="15" customHeight="1">
      <c r="J265" s="2"/>
      <c r="K265" s="1" t="str">
        <f t="shared" si="11"/>
        <v/>
      </c>
    </row>
    <row r="266" spans="10:11" ht="15" customHeight="1">
      <c r="J266" s="2"/>
      <c r="K266" s="1" t="str">
        <f t="shared" si="11"/>
        <v/>
      </c>
    </row>
    <row r="267" spans="10:11" ht="15" customHeight="1">
      <c r="J267" s="2"/>
      <c r="K267" s="1" t="str">
        <f t="shared" si="11"/>
        <v/>
      </c>
    </row>
    <row r="268" spans="10:11" ht="15" customHeight="1">
      <c r="J268" s="2"/>
      <c r="K268" s="1" t="str">
        <f t="shared" si="11"/>
        <v/>
      </c>
    </row>
    <row r="269" spans="10:11" ht="15" customHeight="1">
      <c r="J269" s="2"/>
      <c r="K269" s="1" t="str">
        <f t="shared" si="11"/>
        <v/>
      </c>
    </row>
    <row r="270" spans="10:11" ht="15" customHeight="1">
      <c r="J270" s="2"/>
      <c r="K270" s="1" t="str">
        <f t="shared" si="11"/>
        <v/>
      </c>
    </row>
    <row r="271" spans="10:11" ht="15" customHeight="1">
      <c r="J271" s="2"/>
      <c r="K271" s="1" t="str">
        <f t="shared" si="11"/>
        <v/>
      </c>
    </row>
    <row r="272" spans="10:11" ht="15" customHeight="1">
      <c r="J272" s="2"/>
      <c r="K272" s="1" t="str">
        <f t="shared" si="11"/>
        <v/>
      </c>
    </row>
    <row r="273" spans="10:11" ht="15" customHeight="1">
      <c r="J273" s="2"/>
      <c r="K273" s="1" t="str">
        <f t="shared" si="11"/>
        <v/>
      </c>
    </row>
    <row r="274" spans="10:11" ht="15" customHeight="1">
      <c r="J274" s="2"/>
      <c r="K274" s="1" t="str">
        <f t="shared" si="11"/>
        <v/>
      </c>
    </row>
    <row r="275" spans="10:11">
      <c r="K275" s="1" t="str">
        <f t="shared" si="11"/>
        <v/>
      </c>
    </row>
    <row r="276" spans="10:11" ht="15" customHeight="1">
      <c r="J276" s="2"/>
      <c r="K276" s="1" t="str">
        <f t="shared" si="11"/>
        <v/>
      </c>
    </row>
    <row r="277" spans="10:11" ht="15" customHeight="1">
      <c r="J277" s="2"/>
      <c r="K277" s="1" t="str">
        <f t="shared" si="11"/>
        <v/>
      </c>
    </row>
    <row r="278" spans="10:11" ht="15" customHeight="1">
      <c r="J278" s="2"/>
      <c r="K278" s="1" t="str">
        <f t="shared" si="11"/>
        <v/>
      </c>
    </row>
    <row r="279" spans="10:11" ht="15" customHeight="1">
      <c r="J279" s="2"/>
      <c r="K279" s="1" t="str">
        <f t="shared" si="11"/>
        <v/>
      </c>
    </row>
    <row r="280" spans="10:11" ht="15" customHeight="1">
      <c r="J280" s="2"/>
      <c r="K280" s="1" t="str">
        <f t="shared" si="11"/>
        <v/>
      </c>
    </row>
    <row r="281" spans="10:11" ht="15" customHeight="1">
      <c r="J281" s="2"/>
      <c r="K281" s="1" t="str">
        <f t="shared" si="11"/>
        <v/>
      </c>
    </row>
    <row r="282" spans="10:11" ht="15" customHeight="1">
      <c r="J282" s="2"/>
      <c r="K282" s="1" t="str">
        <f t="shared" si="11"/>
        <v/>
      </c>
    </row>
    <row r="283" spans="10:11" ht="15" customHeight="1">
      <c r="J283" s="2"/>
      <c r="K283" s="1" t="str">
        <f t="shared" si="11"/>
        <v/>
      </c>
    </row>
    <row r="284" spans="10:11" ht="15" customHeight="1">
      <c r="J284" s="2"/>
      <c r="K284" s="1" t="str">
        <f t="shared" si="11"/>
        <v/>
      </c>
    </row>
    <row r="285" spans="10:11" ht="15" customHeight="1">
      <c r="J285" s="2"/>
      <c r="K285" s="1" t="str">
        <f t="shared" si="11"/>
        <v/>
      </c>
    </row>
    <row r="286" spans="10:11" ht="15" customHeight="1">
      <c r="J286" s="2"/>
      <c r="K286" s="1" t="str">
        <f t="shared" si="11"/>
        <v/>
      </c>
    </row>
    <row r="287" spans="10:11" ht="15" customHeight="1">
      <c r="J287" s="2"/>
      <c r="K287" s="1" t="str">
        <f t="shared" si="11"/>
        <v/>
      </c>
    </row>
    <row r="288" spans="10:11" ht="15" customHeight="1">
      <c r="J288" s="2"/>
      <c r="K288" s="1" t="str">
        <f t="shared" si="11"/>
        <v/>
      </c>
    </row>
    <row r="289" spans="10:11" ht="15" customHeight="1">
      <c r="J289" s="2"/>
      <c r="K289" s="1" t="str">
        <f t="shared" si="11"/>
        <v/>
      </c>
    </row>
    <row r="290" spans="10:11" ht="15" customHeight="1">
      <c r="J290" s="2"/>
      <c r="K290" s="1" t="str">
        <f t="shared" si="11"/>
        <v/>
      </c>
    </row>
  </sheetData>
  <mergeCells count="13">
    <mergeCell ref="M27:AF27"/>
    <mergeCell ref="B1:I1"/>
    <mergeCell ref="N47:AE47"/>
    <mergeCell ref="M61:N61"/>
    <mergeCell ref="M64:N64"/>
    <mergeCell ref="V56:X56"/>
    <mergeCell ref="V57:V58"/>
    <mergeCell ref="M55:N56"/>
    <mergeCell ref="O55:P55"/>
    <mergeCell ref="Q55:R55"/>
    <mergeCell ref="S55:T55"/>
    <mergeCell ref="M59:N59"/>
    <mergeCell ref="V54:X54"/>
  </mergeCells>
  <hyperlinks>
    <hyperlink ref="H39" r:id="rId1" display="javascript:cambiarcont(%22html_tramos/9643.html%22);"/>
    <hyperlink ref="H37" r:id="rId2" display="javascript:cambiarcont(%22html_tramos/9643.html%22);"/>
    <hyperlink ref="H35" r:id="rId3" display="javascript:cambiarcont(%22html_tramos/9018.html%22);"/>
    <hyperlink ref="H33" r:id="rId4" display="javascript:cambiarcont(%22html_tramos/9018.html%22);"/>
    <hyperlink ref="H31" r:id="rId5" display="javascript:cambiarcont(%22html_tramos/9018.html%22);"/>
    <hyperlink ref="H29" r:id="rId6" display="javascript:cambiarcont(%22html_tramos/9018.html%22);"/>
    <hyperlink ref="H28" r:id="rId7" display="javascript:cambiarcont(%22html_tramos/7423.html%22);"/>
    <hyperlink ref="H27" r:id="rId8" display="javascript:cambiarcont(%22html_tramos/9018.html%22);"/>
    <hyperlink ref="H25" r:id="rId9" display="javascript:cambiarcont(%22html_tramos/9018.html%22);"/>
    <hyperlink ref="H13" r:id="rId10" display="javascript:cambiarcont(%22html_tramos/9018.html%22);"/>
    <hyperlink ref="H12" r:id="rId11" display="javascript:cambiarcont(%22html_tramos/7423.html%22);"/>
    <hyperlink ref="H23" r:id="rId12" display="javascript:cambiarcont(%22html_tramos/9018.html%22);"/>
    <hyperlink ref="H21" r:id="rId13" display="javascript:cambiarcont(%22html_tramos/9018.html%22);"/>
    <hyperlink ref="H20" r:id="rId14" display="javascript:cambiarcont(%22html_tramos/7423.html%22);"/>
    <hyperlink ref="H19" r:id="rId15" display="javascript:cambiarcont(%22html_tramos/9018.html%22);"/>
    <hyperlink ref="H17" r:id="rId16" display="javascript:cambiarcont(%22html_tramos/9018.html%22);"/>
    <hyperlink ref="H16" r:id="rId17" display="javascript:cambiarcont(%22html_tramos/7423.html%22);"/>
    <hyperlink ref="H15" r:id="rId18" display="javascript:cambiarcont(%22html_tramos/9018.html%22);"/>
    <hyperlink ref="H11" r:id="rId19" display="javascript:cambiarcont(%22html_tramos/9018.html%22);"/>
    <hyperlink ref="H7" r:id="rId20" display="javascript:cambiarcont(%22html_tramos/7424.html%22);"/>
    <hyperlink ref="H6" r:id="rId21" display="javascript:cambiarcont(%22html_tramos/7423.html%22);"/>
    <hyperlink ref="H5" r:id="rId22" display="javascript:cambiarcont(%22html_tramos/7424.html%22);"/>
    <hyperlink ref="H9" r:id="rId23" display="javascript:cambiarcont(%22html_tramos/9018.html%22);"/>
    <hyperlink ref="H8" r:id="rId24" display="javascript:cambiarcont(%22html_tramos/7423.html%22);"/>
  </hyperlinks>
  <pageMargins left="0.7" right="0.7" top="0.75" bottom="0.75" header="0.3" footer="0.3"/>
  <pageSetup orientation="portrait" horizontalDpi="1200" verticalDpi="1200" r:id="rId25"/>
  <drawing r:id="rId26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5050"/>
  </sheetPr>
  <dimension ref="A1:BH109"/>
  <sheetViews>
    <sheetView workbookViewId="0"/>
  </sheetViews>
  <sheetFormatPr baseColWidth="10" defaultRowHeight="15"/>
  <cols>
    <col min="1" max="1" width="11.42578125" style="41"/>
    <col min="2" max="2" width="19" style="41" customWidth="1"/>
    <col min="3" max="12" width="8.7109375" style="42" customWidth="1"/>
    <col min="13" max="13" width="18.5703125" style="42" customWidth="1"/>
    <col min="14" max="20" width="8.7109375" style="42" customWidth="1"/>
    <col min="21" max="21" width="8.7109375" style="5" customWidth="1"/>
    <col min="22" max="22" width="14.5703125" style="41" customWidth="1"/>
    <col min="23" max="16384" width="11.42578125" style="41"/>
  </cols>
  <sheetData>
    <row r="1" spans="1:60" ht="18.75">
      <c r="B1" s="637" t="s">
        <v>24</v>
      </c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  <c r="N1" s="637"/>
      <c r="O1" s="637"/>
      <c r="P1" s="637"/>
      <c r="Q1" s="637"/>
      <c r="R1" s="637"/>
      <c r="S1" s="637"/>
      <c r="T1" s="637"/>
    </row>
    <row r="3" spans="1:60" ht="18.75">
      <c r="B3" s="637" t="s">
        <v>21</v>
      </c>
      <c r="C3" s="637"/>
      <c r="D3" s="637"/>
      <c r="E3" s="637"/>
      <c r="F3" s="637"/>
      <c r="G3" s="637"/>
      <c r="H3" s="637"/>
      <c r="I3" s="637"/>
      <c r="J3" s="637"/>
      <c r="K3" s="637"/>
      <c r="L3" s="637"/>
      <c r="M3" s="637"/>
      <c r="N3" s="637"/>
      <c r="O3" s="637"/>
      <c r="P3" s="637"/>
      <c r="Q3" s="637"/>
      <c r="R3" s="637"/>
      <c r="S3" s="637"/>
      <c r="T3" s="637"/>
    </row>
    <row r="4" spans="1:60" ht="9.9499999999999993" customHeight="1" thickBot="1">
      <c r="L4" s="105"/>
      <c r="U4" s="41"/>
    </row>
    <row r="5" spans="1:60" s="37" customFormat="1">
      <c r="A5" s="135"/>
      <c r="B5" s="100" t="s">
        <v>19</v>
      </c>
      <c r="C5" s="44">
        <v>2022</v>
      </c>
      <c r="D5" s="35">
        <v>2023</v>
      </c>
      <c r="E5" s="33">
        <v>2024</v>
      </c>
      <c r="F5" s="34">
        <v>2025</v>
      </c>
      <c r="G5" s="34">
        <v>2026</v>
      </c>
      <c r="H5" s="34">
        <v>2027</v>
      </c>
      <c r="I5" s="34">
        <v>2028</v>
      </c>
      <c r="J5" s="34">
        <v>2029</v>
      </c>
      <c r="K5" s="35">
        <v>2030</v>
      </c>
      <c r="L5" s="105"/>
      <c r="M5" s="100" t="s">
        <v>19</v>
      </c>
      <c r="N5" s="34">
        <v>2031</v>
      </c>
      <c r="O5" s="34">
        <v>2032</v>
      </c>
      <c r="P5" s="34">
        <v>2033</v>
      </c>
      <c r="Q5" s="34">
        <v>2034</v>
      </c>
      <c r="R5" s="34">
        <v>2035</v>
      </c>
      <c r="S5" s="34">
        <v>2036</v>
      </c>
      <c r="T5" s="34">
        <v>2037</v>
      </c>
      <c r="U5" s="35">
        <v>2038</v>
      </c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</row>
    <row r="6" spans="1:60" s="37" customFormat="1">
      <c r="A6" s="136"/>
      <c r="B6" s="101"/>
      <c r="C6" s="45" t="s">
        <v>25</v>
      </c>
      <c r="D6" s="40"/>
      <c r="E6" s="49">
        <v>1</v>
      </c>
      <c r="F6" s="39">
        <v>2</v>
      </c>
      <c r="G6" s="39">
        <v>3</v>
      </c>
      <c r="H6" s="39">
        <v>4</v>
      </c>
      <c r="I6" s="39">
        <v>5</v>
      </c>
      <c r="J6" s="39">
        <v>6</v>
      </c>
      <c r="K6" s="40">
        <v>7</v>
      </c>
      <c r="L6" s="105"/>
      <c r="M6" s="104"/>
      <c r="N6" s="39">
        <v>8</v>
      </c>
      <c r="O6" s="39">
        <v>9</v>
      </c>
      <c r="P6" s="39">
        <v>10</v>
      </c>
      <c r="Q6" s="39">
        <v>11</v>
      </c>
      <c r="R6" s="39">
        <v>12</v>
      </c>
      <c r="S6" s="39">
        <v>13</v>
      </c>
      <c r="T6" s="39">
        <v>14</v>
      </c>
      <c r="U6" s="40">
        <v>15</v>
      </c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</row>
    <row r="7" spans="1:60" s="37" customFormat="1">
      <c r="A7" s="136"/>
      <c r="B7" s="38" t="s">
        <v>26</v>
      </c>
      <c r="C7" s="45"/>
      <c r="D7" s="133">
        <v>8.5000000000000006E-2</v>
      </c>
      <c r="E7" s="134">
        <v>-0.1</v>
      </c>
      <c r="F7" s="128">
        <v>0.04</v>
      </c>
      <c r="G7" s="128">
        <f>F7</f>
        <v>0.04</v>
      </c>
      <c r="H7" s="128">
        <f t="shared" ref="H7:I7" si="0">G7</f>
        <v>0.04</v>
      </c>
      <c r="I7" s="128">
        <f t="shared" si="0"/>
        <v>0.04</v>
      </c>
      <c r="J7" s="128">
        <f>I7</f>
        <v>0.04</v>
      </c>
      <c r="K7" s="129">
        <f>J7</f>
        <v>0.04</v>
      </c>
      <c r="L7" s="105"/>
      <c r="M7" s="38" t="s">
        <v>26</v>
      </c>
      <c r="N7" s="128">
        <f>K7</f>
        <v>0.04</v>
      </c>
      <c r="O7" s="128">
        <v>3.5000000000000003E-2</v>
      </c>
      <c r="P7" s="128">
        <f t="shared" ref="P7:U7" si="1">O7</f>
        <v>3.5000000000000003E-2</v>
      </c>
      <c r="Q7" s="128">
        <f t="shared" si="1"/>
        <v>3.5000000000000003E-2</v>
      </c>
      <c r="R7" s="128">
        <f t="shared" si="1"/>
        <v>3.5000000000000003E-2</v>
      </c>
      <c r="S7" s="128">
        <f t="shared" si="1"/>
        <v>3.5000000000000003E-2</v>
      </c>
      <c r="T7" s="128">
        <f t="shared" si="1"/>
        <v>3.5000000000000003E-2</v>
      </c>
      <c r="U7" s="129">
        <f t="shared" si="1"/>
        <v>3.5000000000000003E-2</v>
      </c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</row>
    <row r="8" spans="1:60" s="37" customFormat="1" ht="15.75" thickBot="1">
      <c r="A8" s="5"/>
      <c r="B8" s="125" t="s">
        <v>27</v>
      </c>
      <c r="C8" s="130"/>
      <c r="D8" s="131">
        <v>0.03</v>
      </c>
      <c r="E8" s="132">
        <v>-2.5000000000000001E-2</v>
      </c>
      <c r="F8" s="126">
        <v>1.4999999999999999E-2</v>
      </c>
      <c r="G8" s="126">
        <f>F8</f>
        <v>1.4999999999999999E-2</v>
      </c>
      <c r="H8" s="126">
        <f t="shared" ref="H8" si="2">G8</f>
        <v>1.4999999999999999E-2</v>
      </c>
      <c r="I8" s="126">
        <f t="shared" ref="I8" si="3">H8</f>
        <v>1.4999999999999999E-2</v>
      </c>
      <c r="J8" s="126">
        <f>I8</f>
        <v>1.4999999999999999E-2</v>
      </c>
      <c r="K8" s="127">
        <f t="shared" ref="K8" si="4">J8</f>
        <v>1.4999999999999999E-2</v>
      </c>
      <c r="L8" s="105"/>
      <c r="M8" s="125" t="s">
        <v>27</v>
      </c>
      <c r="N8" s="126">
        <f>K8</f>
        <v>1.4999999999999999E-2</v>
      </c>
      <c r="O8" s="126">
        <v>0.01</v>
      </c>
      <c r="P8" s="126">
        <f t="shared" ref="P8" si="5">O8</f>
        <v>0.01</v>
      </c>
      <c r="Q8" s="126">
        <f t="shared" ref="Q8" si="6">P8</f>
        <v>0.01</v>
      </c>
      <c r="R8" s="126">
        <f>Q8</f>
        <v>0.01</v>
      </c>
      <c r="S8" s="126">
        <f t="shared" ref="S8" si="7">R8</f>
        <v>0.01</v>
      </c>
      <c r="T8" s="126">
        <f t="shared" ref="T8" si="8">S8</f>
        <v>0.01</v>
      </c>
      <c r="U8" s="127">
        <f t="shared" ref="U8" si="9">T8</f>
        <v>0.01</v>
      </c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</row>
    <row r="9" spans="1:60">
      <c r="B9" s="88" t="s">
        <v>16</v>
      </c>
      <c r="C9" s="92">
        <v>15906</v>
      </c>
      <c r="D9" s="94">
        <f>SUM(D10:D15)</f>
        <v>17008.65387336351</v>
      </c>
      <c r="E9" s="95">
        <f t="shared" ref="E9:I9" si="10">SUM(E10:E15)</f>
        <v>15658.0205002575</v>
      </c>
      <c r="F9" s="93">
        <f t="shared" si="10"/>
        <v>16170.51591564294</v>
      </c>
      <c r="G9" s="93">
        <f t="shared" si="10"/>
        <v>16701.803766574423</v>
      </c>
      <c r="H9" s="93">
        <f t="shared" si="10"/>
        <v>17252.610139757751</v>
      </c>
      <c r="I9" s="93">
        <f t="shared" si="10"/>
        <v>17823.689781206216</v>
      </c>
      <c r="J9" s="93">
        <f>SUM(J10:J15)</f>
        <v>18415.827236850495</v>
      </c>
      <c r="K9" s="94">
        <f>SUM(K10:K15)</f>
        <v>19029.838038686488</v>
      </c>
      <c r="L9" s="105"/>
      <c r="M9" s="88" t="s">
        <v>16</v>
      </c>
      <c r="N9" s="93">
        <f t="shared" ref="N9:U9" si="11">SUM(N10:N15)</f>
        <v>19666.569938281347</v>
      </c>
      <c r="O9" s="93">
        <f t="shared" si="11"/>
        <v>20228.571339839305</v>
      </c>
      <c r="P9" s="93">
        <f t="shared" si="11"/>
        <v>20808.979504988976</v>
      </c>
      <c r="Q9" s="93">
        <f t="shared" si="11"/>
        <v>21408.426037601439</v>
      </c>
      <c r="R9" s="93">
        <f t="shared" si="11"/>
        <v>22027.56452135471</v>
      </c>
      <c r="S9" s="93">
        <f t="shared" si="11"/>
        <v>22667.07128776372</v>
      </c>
      <c r="T9" s="93">
        <f t="shared" si="11"/>
        <v>23327.646211078663</v>
      </c>
      <c r="U9" s="94">
        <f t="shared" si="11"/>
        <v>24010.013530992059</v>
      </c>
    </row>
    <row r="10" spans="1:60">
      <c r="B10" s="101" t="s">
        <v>28</v>
      </c>
      <c r="C10" s="22">
        <f>C9*X15</f>
        <v>11372.252242972931</v>
      </c>
      <c r="D10" s="23">
        <f t="shared" ref="D10:I10" si="12">(C10*D7)+C10</f>
        <v>12338.893683625629</v>
      </c>
      <c r="E10" s="20">
        <f t="shared" si="12"/>
        <v>11105.004315263066</v>
      </c>
      <c r="F10" s="21">
        <f t="shared" si="12"/>
        <v>11549.204487873589</v>
      </c>
      <c r="G10" s="21">
        <f t="shared" si="12"/>
        <v>12011.172667388531</v>
      </c>
      <c r="H10" s="21">
        <f t="shared" si="12"/>
        <v>12491.619574084072</v>
      </c>
      <c r="I10" s="21">
        <f t="shared" si="12"/>
        <v>12991.284357047434</v>
      </c>
      <c r="J10" s="21">
        <f>(I10*J7)+I10</f>
        <v>13510.935731329331</v>
      </c>
      <c r="K10" s="23">
        <f>(J10*K7)+J10</f>
        <v>14051.373160582505</v>
      </c>
      <c r="L10" s="105"/>
      <c r="M10" s="101" t="s">
        <v>28</v>
      </c>
      <c r="N10" s="21">
        <f>(K10*N7)+K10</f>
        <v>14613.428087005805</v>
      </c>
      <c r="O10" s="21">
        <f t="shared" ref="O10:U11" si="13">(N10*O7)+N10</f>
        <v>15124.898070051007</v>
      </c>
      <c r="P10" s="21">
        <f t="shared" si="13"/>
        <v>15654.269502502793</v>
      </c>
      <c r="Q10" s="21">
        <f t="shared" si="13"/>
        <v>16202.168935090391</v>
      </c>
      <c r="R10" s="21">
        <f t="shared" si="13"/>
        <v>16769.244847818554</v>
      </c>
      <c r="S10" s="21">
        <f t="shared" si="13"/>
        <v>17356.168417492205</v>
      </c>
      <c r="T10" s="21">
        <f t="shared" si="13"/>
        <v>17963.634312104434</v>
      </c>
      <c r="U10" s="23">
        <f t="shared" si="13"/>
        <v>18592.361513028089</v>
      </c>
    </row>
    <row r="11" spans="1:60" ht="22.5">
      <c r="B11" s="101" t="s">
        <v>29</v>
      </c>
      <c r="C11" s="22">
        <f>C9*$Y$15</f>
        <v>406.48551904742135</v>
      </c>
      <c r="D11" s="23">
        <f>(C11*D8)+C11</f>
        <v>418.68008461884398</v>
      </c>
      <c r="E11" s="20">
        <f t="shared" ref="E11:I11" si="14">(D11*E8)+D11</f>
        <v>408.2130825033729</v>
      </c>
      <c r="F11" s="21">
        <f t="shared" si="14"/>
        <v>414.33627874092349</v>
      </c>
      <c r="G11" s="21">
        <f t="shared" si="14"/>
        <v>420.55132292203734</v>
      </c>
      <c r="H11" s="21">
        <f t="shared" si="14"/>
        <v>426.85959276586789</v>
      </c>
      <c r="I11" s="21">
        <f t="shared" si="14"/>
        <v>433.26248665735591</v>
      </c>
      <c r="J11" s="21">
        <f>(I11*J8)+I11</f>
        <v>439.76142395721627</v>
      </c>
      <c r="K11" s="23">
        <f>(J11*K8)+J11</f>
        <v>446.35784531657453</v>
      </c>
      <c r="L11" s="105"/>
      <c r="M11" s="101" t="s">
        <v>29</v>
      </c>
      <c r="N11" s="21">
        <f>(K11*N8)+K11</f>
        <v>453.05321299632317</v>
      </c>
      <c r="O11" s="21">
        <f t="shared" si="13"/>
        <v>457.58374512628637</v>
      </c>
      <c r="P11" s="21">
        <f t="shared" si="13"/>
        <v>462.15958257754926</v>
      </c>
      <c r="Q11" s="21">
        <f t="shared" si="13"/>
        <v>466.78117840332476</v>
      </c>
      <c r="R11" s="21">
        <f t="shared" si="13"/>
        <v>471.44899018735799</v>
      </c>
      <c r="S11" s="21">
        <f t="shared" si="13"/>
        <v>476.1634800892316</v>
      </c>
      <c r="T11" s="21">
        <f t="shared" si="13"/>
        <v>480.92511489012389</v>
      </c>
      <c r="U11" s="23">
        <f t="shared" si="13"/>
        <v>485.73436603902513</v>
      </c>
      <c r="W11" s="78" t="s">
        <v>34</v>
      </c>
      <c r="X11" s="79" t="s">
        <v>35</v>
      </c>
      <c r="Y11" s="79" t="s">
        <v>36</v>
      </c>
      <c r="Z11" s="79" t="s">
        <v>37</v>
      </c>
      <c r="AA11" s="79" t="s">
        <v>38</v>
      </c>
      <c r="AB11" s="79" t="s">
        <v>39</v>
      </c>
      <c r="AC11" s="79" t="s">
        <v>40</v>
      </c>
      <c r="AD11" s="79" t="s">
        <v>45</v>
      </c>
      <c r="AE11" s="79" t="s">
        <v>46</v>
      </c>
    </row>
    <row r="12" spans="1:60">
      <c r="B12" s="101" t="s">
        <v>30</v>
      </c>
      <c r="C12" s="22">
        <f>C9*$Z$15</f>
        <v>102.67752431663583</v>
      </c>
      <c r="D12" s="23">
        <f>(C12*D8)+C12</f>
        <v>105.75785004613491</v>
      </c>
      <c r="E12" s="20">
        <f t="shared" ref="E12:I12" si="15">(D12*E8)+D12</f>
        <v>103.11390379498154</v>
      </c>
      <c r="F12" s="21">
        <f t="shared" si="15"/>
        <v>104.66061235190627</v>
      </c>
      <c r="G12" s="21">
        <f t="shared" si="15"/>
        <v>106.23052153718486</v>
      </c>
      <c r="H12" s="21">
        <f t="shared" si="15"/>
        <v>107.82397936024263</v>
      </c>
      <c r="I12" s="21">
        <f t="shared" si="15"/>
        <v>109.44133905064628</v>
      </c>
      <c r="J12" s="21">
        <f>(I12*J8)+I12</f>
        <v>111.08295913640598</v>
      </c>
      <c r="K12" s="23">
        <f>(J12*K8)+J12</f>
        <v>112.74920352345207</v>
      </c>
      <c r="L12" s="105"/>
      <c r="M12" s="101" t="s">
        <v>30</v>
      </c>
      <c r="N12" s="21">
        <f>(K12*N8)+K12</f>
        <v>114.44044157630385</v>
      </c>
      <c r="O12" s="21">
        <f t="shared" ref="O12:U12" si="16">(N12*O8)+N12</f>
        <v>115.58484599206689</v>
      </c>
      <c r="P12" s="21">
        <f t="shared" si="16"/>
        <v>116.74069445198755</v>
      </c>
      <c r="Q12" s="21">
        <f t="shared" si="16"/>
        <v>117.90810139650743</v>
      </c>
      <c r="R12" s="21">
        <f t="shared" si="16"/>
        <v>119.08718241047251</v>
      </c>
      <c r="S12" s="21">
        <f t="shared" si="16"/>
        <v>120.27805423457723</v>
      </c>
      <c r="T12" s="21">
        <f t="shared" si="16"/>
        <v>121.480834776923</v>
      </c>
      <c r="U12" s="23">
        <f t="shared" si="16"/>
        <v>122.69564312469224</v>
      </c>
      <c r="W12" s="80" t="s">
        <v>41</v>
      </c>
      <c r="X12" s="72">
        <v>0.68464013186883643</v>
      </c>
      <c r="Y12" s="72">
        <v>3.0316391288490917E-2</v>
      </c>
      <c r="Z12" s="72">
        <v>5.9112646681444359E-3</v>
      </c>
      <c r="AA12" s="72">
        <v>4.8967159609488727E-2</v>
      </c>
      <c r="AB12" s="72">
        <v>0.22843880131407679</v>
      </c>
      <c r="AC12" s="72">
        <v>1.7262512509627387E-3</v>
      </c>
      <c r="AD12" s="72">
        <v>0</v>
      </c>
      <c r="AE12" s="81">
        <v>1</v>
      </c>
    </row>
    <row r="13" spans="1:60">
      <c r="B13" s="101" t="s">
        <v>31</v>
      </c>
      <c r="C13" s="22">
        <f>C9*$AA$15</f>
        <v>690.6418279378945</v>
      </c>
      <c r="D13" s="23">
        <f>(C13*D8)+C13</f>
        <v>711.36108277603137</v>
      </c>
      <c r="E13" s="20">
        <f t="shared" ref="E13:I13" si="17">(D13*E8)+D13</f>
        <v>693.57705570663063</v>
      </c>
      <c r="F13" s="21">
        <f t="shared" si="17"/>
        <v>703.9807115422301</v>
      </c>
      <c r="G13" s="21">
        <f t="shared" si="17"/>
        <v>714.54042221536349</v>
      </c>
      <c r="H13" s="21">
        <f t="shared" si="17"/>
        <v>725.25852854859397</v>
      </c>
      <c r="I13" s="21">
        <f t="shared" si="17"/>
        <v>736.13740647682289</v>
      </c>
      <c r="J13" s="21">
        <f>(I13*J8)+I13</f>
        <v>747.17946757397522</v>
      </c>
      <c r="K13" s="23">
        <f>(J13*K8)+J13</f>
        <v>758.38715958758485</v>
      </c>
      <c r="L13" s="105"/>
      <c r="M13" s="101" t="s">
        <v>31</v>
      </c>
      <c r="N13" s="21">
        <f>(K13*N8)+K13</f>
        <v>769.76296698139868</v>
      </c>
      <c r="O13" s="21">
        <f t="shared" ref="O13:U13" si="18">(N13*O8)+N13</f>
        <v>777.46059665121265</v>
      </c>
      <c r="P13" s="21">
        <f t="shared" si="18"/>
        <v>785.23520261772478</v>
      </c>
      <c r="Q13" s="21">
        <f t="shared" si="18"/>
        <v>793.08755464390208</v>
      </c>
      <c r="R13" s="21">
        <f t="shared" si="18"/>
        <v>801.01843019034106</v>
      </c>
      <c r="S13" s="21">
        <f t="shared" si="18"/>
        <v>809.02861449224451</v>
      </c>
      <c r="T13" s="21">
        <f t="shared" si="18"/>
        <v>817.11890063716692</v>
      </c>
      <c r="U13" s="23">
        <f t="shared" si="18"/>
        <v>825.29008964353864</v>
      </c>
      <c r="W13" s="80" t="s">
        <v>42</v>
      </c>
      <c r="X13" s="72">
        <v>0.54545511669583679</v>
      </c>
      <c r="Y13" s="72">
        <v>2.6220432265140047E-2</v>
      </c>
      <c r="Z13" s="72">
        <v>4.9724650272752486E-3</v>
      </c>
      <c r="AA13" s="72">
        <v>6.0140016572090692E-2</v>
      </c>
      <c r="AB13" s="72">
        <v>0.36048779588680374</v>
      </c>
      <c r="AC13" s="72">
        <v>2.7241735528534912E-3</v>
      </c>
      <c r="AD13" s="72">
        <v>0</v>
      </c>
      <c r="AE13" s="82">
        <v>0.99999999999999989</v>
      </c>
    </row>
    <row r="14" spans="1:60">
      <c r="B14" s="101" t="s">
        <v>32</v>
      </c>
      <c r="C14" s="22">
        <f>C9*$AB$15</f>
        <v>3308.9378757342447</v>
      </c>
      <c r="D14" s="23">
        <f>(C14*D8)+C14</f>
        <v>3408.206012006272</v>
      </c>
      <c r="E14" s="20">
        <f t="shared" ref="E14:I14" si="19">(D14*E8)+D14</f>
        <v>3323.0008617061153</v>
      </c>
      <c r="F14" s="21">
        <f t="shared" si="19"/>
        <v>3372.8458746317069</v>
      </c>
      <c r="G14" s="21">
        <f t="shared" si="19"/>
        <v>3423.4385627511824</v>
      </c>
      <c r="H14" s="21">
        <f t="shared" si="19"/>
        <v>3474.7901411924499</v>
      </c>
      <c r="I14" s="21">
        <f t="shared" si="19"/>
        <v>3526.9119933103366</v>
      </c>
      <c r="J14" s="21">
        <f>(I14*J8)+I14</f>
        <v>3579.8156732099915</v>
      </c>
      <c r="K14" s="23">
        <f>(J14*K8)+J14</f>
        <v>3633.5129083081415</v>
      </c>
      <c r="L14" s="105"/>
      <c r="M14" s="101" t="s">
        <v>32</v>
      </c>
      <c r="N14" s="21">
        <f>(K14*N8)+K14</f>
        <v>3688.0156019327637</v>
      </c>
      <c r="O14" s="21">
        <f t="shared" ref="O14:U14" si="20">(N14*O8)+N14</f>
        <v>3724.8957579520916</v>
      </c>
      <c r="P14" s="21">
        <f t="shared" si="20"/>
        <v>3762.1447155316123</v>
      </c>
      <c r="Q14" s="21">
        <f t="shared" si="20"/>
        <v>3799.7661626869285</v>
      </c>
      <c r="R14" s="21">
        <f t="shared" si="20"/>
        <v>3837.7638243137976</v>
      </c>
      <c r="S14" s="21">
        <f t="shared" si="20"/>
        <v>3876.1414625569355</v>
      </c>
      <c r="T14" s="21">
        <f t="shared" si="20"/>
        <v>3914.9028771825047</v>
      </c>
      <c r="U14" s="23">
        <f t="shared" si="20"/>
        <v>3954.0519059543299</v>
      </c>
      <c r="W14" s="80" t="s">
        <v>43</v>
      </c>
      <c r="X14" s="72">
        <v>0.61923943392940406</v>
      </c>
      <c r="Y14" s="72">
        <v>3.4667329591739279E-2</v>
      </c>
      <c r="Z14" s="72">
        <v>1.165989696571329E-2</v>
      </c>
      <c r="AA14" s="72">
        <v>5.286799364041371E-2</v>
      </c>
      <c r="AB14" s="72">
        <v>0.27945353625582164</v>
      </c>
      <c r="AC14" s="72">
        <v>2.1118096169079601E-3</v>
      </c>
      <c r="AD14" s="72">
        <v>0</v>
      </c>
      <c r="AE14" s="81">
        <v>1</v>
      </c>
    </row>
    <row r="15" spans="1:60" ht="15.75" thickBot="1">
      <c r="B15" s="102" t="s">
        <v>33</v>
      </c>
      <c r="C15" s="65">
        <f>C9*$AC$15</f>
        <v>25.005009990872921</v>
      </c>
      <c r="D15" s="68">
        <f>(C15*D8)+C15</f>
        <v>25.755160290599107</v>
      </c>
      <c r="E15" s="86">
        <f t="shared" ref="E15:I15" si="21">(D15*E8)+D15</f>
        <v>25.111281283334129</v>
      </c>
      <c r="F15" s="67">
        <f t="shared" si="21"/>
        <v>25.487950502584141</v>
      </c>
      <c r="G15" s="67">
        <f t="shared" si="21"/>
        <v>25.870269760122902</v>
      </c>
      <c r="H15" s="67">
        <f t="shared" si="21"/>
        <v>26.258323806524746</v>
      </c>
      <c r="I15" s="67">
        <f t="shared" si="21"/>
        <v>26.652198663622617</v>
      </c>
      <c r="J15" s="67">
        <f>(I15*J8)+I15</f>
        <v>27.051981643576955</v>
      </c>
      <c r="K15" s="68">
        <f>(J15*K8)+J15</f>
        <v>27.45776136823061</v>
      </c>
      <c r="L15" s="105"/>
      <c r="M15" s="102" t="s">
        <v>33</v>
      </c>
      <c r="N15" s="67">
        <f>(K15*N8)+K15</f>
        <v>27.86962778875407</v>
      </c>
      <c r="O15" s="67">
        <f t="shared" ref="O15:U15" si="22">(N15*O8)+N15</f>
        <v>28.14832406664161</v>
      </c>
      <c r="P15" s="67">
        <f t="shared" si="22"/>
        <v>28.429807307308025</v>
      </c>
      <c r="Q15" s="67">
        <f t="shared" si="22"/>
        <v>28.714105380381106</v>
      </c>
      <c r="R15" s="67">
        <f t="shared" si="22"/>
        <v>29.001246434184917</v>
      </c>
      <c r="S15" s="67">
        <f t="shared" si="22"/>
        <v>29.291258898526767</v>
      </c>
      <c r="T15" s="67">
        <f t="shared" si="22"/>
        <v>29.584171487512034</v>
      </c>
      <c r="U15" s="68">
        <f t="shared" si="22"/>
        <v>29.880013202387154</v>
      </c>
      <c r="W15" s="80" t="s">
        <v>44</v>
      </c>
      <c r="X15" s="73">
        <v>0.71496619156123042</v>
      </c>
      <c r="Y15" s="73">
        <v>2.5555483405470977E-2</v>
      </c>
      <c r="Z15" s="73">
        <v>6.4552699809276894E-3</v>
      </c>
      <c r="AA15" s="73">
        <v>4.3420207967929995E-2</v>
      </c>
      <c r="AB15" s="73">
        <v>0.20803079817265463</v>
      </c>
      <c r="AC15" s="73">
        <v>1.572048911786302E-3</v>
      </c>
      <c r="AD15" s="73">
        <v>0</v>
      </c>
      <c r="AE15" s="83">
        <v>1</v>
      </c>
    </row>
    <row r="16" spans="1:60">
      <c r="B16" s="88" t="s">
        <v>12</v>
      </c>
      <c r="C16" s="92">
        <v>9743</v>
      </c>
      <c r="D16" s="94">
        <f>SUM(D17:D22)</f>
        <v>10402.164684263893</v>
      </c>
      <c r="E16" s="96">
        <f t="shared" ref="E16:I16" si="23">SUM(E17:E22)</f>
        <v>9599.3027956668539</v>
      </c>
      <c r="F16" s="93">
        <f t="shared" si="23"/>
        <v>9906.13466904899</v>
      </c>
      <c r="G16" s="93">
        <f t="shared" si="23"/>
        <v>10224.08271378974</v>
      </c>
      <c r="H16" s="93">
        <f t="shared" si="23"/>
        <v>10553.574220189808</v>
      </c>
      <c r="I16" s="93">
        <f t="shared" si="23"/>
        <v>10895.0533098136</v>
      </c>
      <c r="J16" s="93">
        <f>SUM(J17:J22)</f>
        <v>11248.981604834593</v>
      </c>
      <c r="K16" s="94">
        <f>SUM(K17:K22)</f>
        <v>11615.838924095848</v>
      </c>
      <c r="L16" s="105"/>
      <c r="M16" s="88" t="s">
        <v>12</v>
      </c>
      <c r="N16" s="93">
        <f t="shared" ref="N16:U16" si="24">SUM(N17:N22)</f>
        <v>11996.124006953572</v>
      </c>
      <c r="O16" s="93">
        <f t="shared" si="24"/>
        <v>12330.374645979247</v>
      </c>
      <c r="P16" s="93">
        <f t="shared" si="24"/>
        <v>12675.46792035864</v>
      </c>
      <c r="Q16" s="93">
        <f t="shared" si="24"/>
        <v>13031.774760959017</v>
      </c>
      <c r="R16" s="93">
        <f t="shared" si="24"/>
        <v>13399.678995614282</v>
      </c>
      <c r="S16" s="93">
        <f t="shared" si="24"/>
        <v>13779.577799662702</v>
      </c>
      <c r="T16" s="93">
        <f t="shared" si="24"/>
        <v>14171.882162244832</v>
      </c>
      <c r="U16" s="94">
        <f t="shared" si="24"/>
        <v>14577.017368913281</v>
      </c>
    </row>
    <row r="17" spans="2:21">
      <c r="B17" s="70" t="s">
        <v>28</v>
      </c>
      <c r="C17" s="22">
        <f>C16*X12</f>
        <v>6670.4488047980731</v>
      </c>
      <c r="D17" s="23">
        <f>(D7*C17)+C17</f>
        <v>7237.436953205909</v>
      </c>
      <c r="E17" s="20">
        <f t="shared" ref="E17:I17" si="25">(E7*D17)+D17</f>
        <v>6513.6932578853184</v>
      </c>
      <c r="F17" s="21">
        <f t="shared" si="25"/>
        <v>6774.2409882007314</v>
      </c>
      <c r="G17" s="21">
        <f t="shared" si="25"/>
        <v>7045.2106277287603</v>
      </c>
      <c r="H17" s="21">
        <f t="shared" si="25"/>
        <v>7327.0190528379107</v>
      </c>
      <c r="I17" s="21">
        <f t="shared" si="25"/>
        <v>7620.0998149514271</v>
      </c>
      <c r="J17" s="21">
        <f>(J7*I17)+I17</f>
        <v>7924.9038075494846</v>
      </c>
      <c r="K17" s="23">
        <f>(K7*J17)+J17</f>
        <v>8241.8999598514638</v>
      </c>
      <c r="L17" s="105"/>
      <c r="M17" s="70" t="s">
        <v>28</v>
      </c>
      <c r="N17" s="21">
        <f>(N7*K17)+K17</f>
        <v>8571.575958245523</v>
      </c>
      <c r="O17" s="21">
        <f t="shared" ref="O17:U17" si="26">(O7*N17)+N17</f>
        <v>8871.5811167841166</v>
      </c>
      <c r="P17" s="21">
        <f t="shared" si="26"/>
        <v>9182.0864558715602</v>
      </c>
      <c r="Q17" s="21">
        <f t="shared" si="26"/>
        <v>9503.4594818270652</v>
      </c>
      <c r="R17" s="21">
        <f t="shared" si="26"/>
        <v>9836.0805636910118</v>
      </c>
      <c r="S17" s="21">
        <f t="shared" si="26"/>
        <v>10180.343383420197</v>
      </c>
      <c r="T17" s="21">
        <f t="shared" si="26"/>
        <v>10536.655401839904</v>
      </c>
      <c r="U17" s="23">
        <f t="shared" si="26"/>
        <v>10905.4383409043</v>
      </c>
    </row>
    <row r="18" spans="2:21">
      <c r="B18" s="70" t="s">
        <v>29</v>
      </c>
      <c r="C18" s="22">
        <f>C16*Y12</f>
        <v>295.37260032376702</v>
      </c>
      <c r="D18" s="23">
        <f>(C18*D8)+C18</f>
        <v>304.23377833348002</v>
      </c>
      <c r="E18" s="20">
        <f t="shared" ref="E18:I18" si="27">(D18*E8)+D18</f>
        <v>296.62793387514301</v>
      </c>
      <c r="F18" s="21">
        <f t="shared" si="27"/>
        <v>301.07735288327018</v>
      </c>
      <c r="G18" s="21">
        <f t="shared" si="27"/>
        <v>305.59351317651925</v>
      </c>
      <c r="H18" s="21">
        <f t="shared" si="27"/>
        <v>310.17741587416702</v>
      </c>
      <c r="I18" s="21">
        <f t="shared" si="27"/>
        <v>314.83007711227953</v>
      </c>
      <c r="J18" s="21">
        <f>(I18*J8)+I18</f>
        <v>319.55252826896373</v>
      </c>
      <c r="K18" s="23">
        <f>(J18*K8)+J18</f>
        <v>324.3458161929982</v>
      </c>
      <c r="L18" s="105"/>
      <c r="M18" s="70" t="s">
        <v>29</v>
      </c>
      <c r="N18" s="21">
        <f>(K18*N8)+K18</f>
        <v>329.21100343589319</v>
      </c>
      <c r="O18" s="21">
        <f t="shared" ref="O18:U18" si="28">(N18*O8)+N18</f>
        <v>332.50311347025212</v>
      </c>
      <c r="P18" s="21">
        <f t="shared" si="28"/>
        <v>335.82814460495462</v>
      </c>
      <c r="Q18" s="21">
        <f t="shared" si="28"/>
        <v>339.18642605100416</v>
      </c>
      <c r="R18" s="21">
        <f t="shared" si="28"/>
        <v>342.57829031151419</v>
      </c>
      <c r="S18" s="21">
        <f t="shared" si="28"/>
        <v>346.00407321462933</v>
      </c>
      <c r="T18" s="21">
        <f t="shared" si="28"/>
        <v>349.46411394677563</v>
      </c>
      <c r="U18" s="23">
        <f t="shared" si="28"/>
        <v>352.9587550862434</v>
      </c>
    </row>
    <row r="19" spans="2:21">
      <c r="B19" s="70" t="s">
        <v>30</v>
      </c>
      <c r="C19" s="22">
        <f>C16*Z12</f>
        <v>57.593451661731237</v>
      </c>
      <c r="D19" s="23">
        <f>C19*D8+C19</f>
        <v>59.321255211583171</v>
      </c>
      <c r="E19" s="20">
        <f t="shared" ref="E19:I19" si="29">D19*E8+D19</f>
        <v>57.83822383129359</v>
      </c>
      <c r="F19" s="21">
        <f t="shared" si="29"/>
        <v>58.705797188762993</v>
      </c>
      <c r="G19" s="21">
        <f t="shared" si="29"/>
        <v>59.58638414659444</v>
      </c>
      <c r="H19" s="21">
        <f t="shared" si="29"/>
        <v>60.48017990879336</v>
      </c>
      <c r="I19" s="21">
        <f t="shared" si="29"/>
        <v>61.387382607425259</v>
      </c>
      <c r="J19" s="21">
        <f>I19*J8+I19</f>
        <v>62.30819334653664</v>
      </c>
      <c r="K19" s="23">
        <f>J19*K8+J19</f>
        <v>63.242816246734691</v>
      </c>
      <c r="L19" s="105"/>
      <c r="M19" s="70" t="s">
        <v>30</v>
      </c>
      <c r="N19" s="21">
        <f>K19*N8+K19</f>
        <v>64.191458490435707</v>
      </c>
      <c r="O19" s="21">
        <f t="shared" ref="O19:U19" si="30">N19*O8+N19</f>
        <v>64.833373075340063</v>
      </c>
      <c r="P19" s="21">
        <f t="shared" si="30"/>
        <v>65.48170680609347</v>
      </c>
      <c r="Q19" s="21">
        <f t="shared" si="30"/>
        <v>66.136523874154406</v>
      </c>
      <c r="R19" s="21">
        <f t="shared" si="30"/>
        <v>66.797889112895945</v>
      </c>
      <c r="S19" s="21">
        <f t="shared" si="30"/>
        <v>67.465868004024898</v>
      </c>
      <c r="T19" s="21">
        <f t="shared" si="30"/>
        <v>68.140526684065151</v>
      </c>
      <c r="U19" s="23">
        <f t="shared" si="30"/>
        <v>68.821931950905807</v>
      </c>
    </row>
    <row r="20" spans="2:21">
      <c r="B20" s="70" t="s">
        <v>31</v>
      </c>
      <c r="C20" s="22">
        <f>C16*AA12</f>
        <v>477.08703607524865</v>
      </c>
      <c r="D20" s="23">
        <f>C20*D8+C20</f>
        <v>491.39964715750608</v>
      </c>
      <c r="E20" s="20">
        <f t="shared" ref="E20:I20" si="31">D20*E8+D20</f>
        <v>479.11465597856841</v>
      </c>
      <c r="F20" s="21">
        <f t="shared" si="31"/>
        <v>486.30137581824692</v>
      </c>
      <c r="G20" s="21">
        <f t="shared" si="31"/>
        <v>493.59589645552063</v>
      </c>
      <c r="H20" s="21">
        <f t="shared" si="31"/>
        <v>500.99983490235343</v>
      </c>
      <c r="I20" s="21">
        <f t="shared" si="31"/>
        <v>508.51483242588876</v>
      </c>
      <c r="J20" s="21">
        <f>I20*J8+I20</f>
        <v>516.14255491227709</v>
      </c>
      <c r="K20" s="23">
        <f>J20*K8+J20</f>
        <v>523.88469323596121</v>
      </c>
      <c r="L20" s="105"/>
      <c r="M20" s="70" t="s">
        <v>31</v>
      </c>
      <c r="N20" s="21">
        <f>K20*N8+K20</f>
        <v>531.7429636345006</v>
      </c>
      <c r="O20" s="21">
        <f t="shared" ref="O20:U20" si="32">N20*O8+N20</f>
        <v>537.06039327084557</v>
      </c>
      <c r="P20" s="21">
        <f t="shared" si="32"/>
        <v>542.43099720355406</v>
      </c>
      <c r="Q20" s="21">
        <f t="shared" si="32"/>
        <v>547.85530717558959</v>
      </c>
      <c r="R20" s="21">
        <f t="shared" si="32"/>
        <v>553.33386024734546</v>
      </c>
      <c r="S20" s="21">
        <f t="shared" si="32"/>
        <v>558.86719884981892</v>
      </c>
      <c r="T20" s="21">
        <f t="shared" si="32"/>
        <v>564.45587083831708</v>
      </c>
      <c r="U20" s="23">
        <f t="shared" si="32"/>
        <v>570.1004295467003</v>
      </c>
    </row>
    <row r="21" spans="2:21">
      <c r="B21" s="70" t="s">
        <v>32</v>
      </c>
      <c r="C21" s="22">
        <f>C16*AB12</f>
        <v>2225.67924120305</v>
      </c>
      <c r="D21" s="23">
        <f>C21*D8+C21</f>
        <v>2292.4496184391414</v>
      </c>
      <c r="E21" s="20">
        <f t="shared" ref="E21:I21" si="33">D21*E8+D21</f>
        <v>2235.1383779781627</v>
      </c>
      <c r="F21" s="21">
        <f t="shared" si="33"/>
        <v>2268.665453647835</v>
      </c>
      <c r="G21" s="21">
        <f t="shared" si="33"/>
        <v>2302.6954354525524</v>
      </c>
      <c r="H21" s="21">
        <f t="shared" si="33"/>
        <v>2337.2358669843406</v>
      </c>
      <c r="I21" s="21">
        <f t="shared" si="33"/>
        <v>2372.2944049891057</v>
      </c>
      <c r="J21" s="21">
        <f>I21*J8+I21</f>
        <v>2407.8788210639423</v>
      </c>
      <c r="K21" s="23">
        <f>J21*K8+J21</f>
        <v>2443.9970033799013</v>
      </c>
      <c r="L21" s="105"/>
      <c r="M21" s="70" t="s">
        <v>32</v>
      </c>
      <c r="N21" s="21">
        <f>K21*N8+K21</f>
        <v>2480.6569584305998</v>
      </c>
      <c r="O21" s="21">
        <f t="shared" ref="O21:U21" si="34">N21*O8+N21</f>
        <v>2505.4635280149059</v>
      </c>
      <c r="P21" s="21">
        <f t="shared" si="34"/>
        <v>2530.5181632950548</v>
      </c>
      <c r="Q21" s="21">
        <f t="shared" si="34"/>
        <v>2555.8233449280056</v>
      </c>
      <c r="R21" s="21">
        <f t="shared" si="34"/>
        <v>2581.3815783772857</v>
      </c>
      <c r="S21" s="21">
        <f t="shared" si="34"/>
        <v>2607.1953941610586</v>
      </c>
      <c r="T21" s="21">
        <f t="shared" si="34"/>
        <v>2633.2673481026691</v>
      </c>
      <c r="U21" s="23">
        <f t="shared" si="34"/>
        <v>2659.6000215836957</v>
      </c>
    </row>
    <row r="22" spans="2:21" ht="15.75" thickBot="1">
      <c r="B22" s="71" t="s">
        <v>33</v>
      </c>
      <c r="C22" s="65">
        <f>C16*AC12</f>
        <v>16.818865938129964</v>
      </c>
      <c r="D22" s="68">
        <f>C22*D8+C22</f>
        <v>17.323431916273861</v>
      </c>
      <c r="E22" s="86">
        <f t="shared" ref="E22:I22" si="35">D22*E8+D22</f>
        <v>16.890346118367013</v>
      </c>
      <c r="F22" s="67">
        <f t="shared" si="35"/>
        <v>17.143701310142518</v>
      </c>
      <c r="G22" s="67">
        <f t="shared" si="35"/>
        <v>17.400856829794655</v>
      </c>
      <c r="H22" s="67">
        <f t="shared" si="35"/>
        <v>17.661869682241576</v>
      </c>
      <c r="I22" s="67">
        <f t="shared" si="35"/>
        <v>17.926797727475201</v>
      </c>
      <c r="J22" s="67">
        <f>I22*J8+I22</f>
        <v>18.195699693387329</v>
      </c>
      <c r="K22" s="68">
        <f>J22*K8+J22</f>
        <v>18.468635188788138</v>
      </c>
      <c r="L22" s="105"/>
      <c r="M22" s="71" t="s">
        <v>33</v>
      </c>
      <c r="N22" s="67">
        <f>K22*N8+K22</f>
        <v>18.745664716619959</v>
      </c>
      <c r="O22" s="67">
        <f t="shared" ref="O22:U22" si="36">N22*O8+N22</f>
        <v>18.93312136378616</v>
      </c>
      <c r="P22" s="67">
        <f t="shared" si="36"/>
        <v>19.122452577424021</v>
      </c>
      <c r="Q22" s="67">
        <f t="shared" si="36"/>
        <v>19.313677103198259</v>
      </c>
      <c r="R22" s="67">
        <f t="shared" si="36"/>
        <v>19.506813874230243</v>
      </c>
      <c r="S22" s="67">
        <f t="shared" si="36"/>
        <v>19.701882012972547</v>
      </c>
      <c r="T22" s="67">
        <f t="shared" si="36"/>
        <v>19.898900833102271</v>
      </c>
      <c r="U22" s="68">
        <f t="shared" si="36"/>
        <v>20.097889841433293</v>
      </c>
    </row>
    <row r="23" spans="2:21">
      <c r="B23" s="103" t="s">
        <v>11</v>
      </c>
      <c r="C23" s="92">
        <v>9753</v>
      </c>
      <c r="D23" s="99">
        <f>SUM(D24:D29)</f>
        <v>10372.337106209476</v>
      </c>
      <c r="E23" s="92">
        <f t="shared" ref="E23:I23" si="37">SUM(E24:E29)</f>
        <v>9621.5690696013808</v>
      </c>
      <c r="F23" s="93">
        <f t="shared" si="37"/>
        <v>9913.3304883312594</v>
      </c>
      <c r="G23" s="93">
        <f t="shared" si="37"/>
        <v>10215.365843649521</v>
      </c>
      <c r="H23" s="93">
        <f t="shared" si="37"/>
        <v>10528.065145217288</v>
      </c>
      <c r="I23" s="93">
        <f t="shared" si="37"/>
        <v>10851.833688865092</v>
      </c>
      <c r="J23" s="93">
        <f>SUM(J24:J29)</f>
        <v>11187.092663326397</v>
      </c>
      <c r="K23" s="94">
        <f>SUM(K24:K29)</f>
        <v>11534.279781169751</v>
      </c>
      <c r="L23" s="105"/>
      <c r="M23" s="103" t="s">
        <v>11</v>
      </c>
      <c r="N23" s="93">
        <f t="shared" ref="N23:U23" si="38">SUM(N24:N29)</f>
        <v>11893.849934896496</v>
      </c>
      <c r="O23" s="93">
        <f t="shared" si="38"/>
        <v>12206.806629535027</v>
      </c>
      <c r="P23" s="93">
        <f t="shared" si="38"/>
        <v>12529.683527955078</v>
      </c>
      <c r="Q23" s="93">
        <f t="shared" si="38"/>
        <v>12862.817504483693</v>
      </c>
      <c r="R23" s="93">
        <f t="shared" si="38"/>
        <v>13206.557120721312</v>
      </c>
      <c r="S23" s="93">
        <f t="shared" si="38"/>
        <v>13561.263033563055</v>
      </c>
      <c r="T23" s="93">
        <f t="shared" si="38"/>
        <v>13927.308417490423</v>
      </c>
      <c r="U23" s="94">
        <f t="shared" si="38"/>
        <v>14305.079401632776</v>
      </c>
    </row>
    <row r="24" spans="2:21">
      <c r="B24" s="70" t="s">
        <v>28</v>
      </c>
      <c r="C24" s="22">
        <f>C23*X14</f>
        <v>6039.4421991134777</v>
      </c>
      <c r="D24" s="61">
        <f>C24*D7+C24</f>
        <v>6552.7947860381237</v>
      </c>
      <c r="E24" s="22">
        <f t="shared" ref="E24:I24" si="39">D24*E7+D24</f>
        <v>5897.5153074343116</v>
      </c>
      <c r="F24" s="21">
        <f t="shared" si="39"/>
        <v>6133.415919731684</v>
      </c>
      <c r="G24" s="21">
        <f t="shared" si="39"/>
        <v>6378.7525565209517</v>
      </c>
      <c r="H24" s="21">
        <f t="shared" si="39"/>
        <v>6633.9026587817898</v>
      </c>
      <c r="I24" s="21">
        <f t="shared" si="39"/>
        <v>6899.2587651330614</v>
      </c>
      <c r="J24" s="21">
        <f>I24*J7+I24</f>
        <v>7175.2291157383843</v>
      </c>
      <c r="K24" s="23">
        <f>J24*K7+J24</f>
        <v>7462.2382803679193</v>
      </c>
      <c r="L24" s="105"/>
      <c r="M24" s="70" t="s">
        <v>28</v>
      </c>
      <c r="N24" s="21">
        <f>K24*N7+K24</f>
        <v>7760.7278115826357</v>
      </c>
      <c r="O24" s="21">
        <f t="shared" ref="O24:U25" si="40">N24*O7+N24</f>
        <v>8032.3532849880276</v>
      </c>
      <c r="P24" s="21">
        <f t="shared" si="40"/>
        <v>8313.4856499626094</v>
      </c>
      <c r="Q24" s="21">
        <f t="shared" si="40"/>
        <v>8604.4576477113005</v>
      </c>
      <c r="R24" s="21">
        <f t="shared" si="40"/>
        <v>8905.6136653811955</v>
      </c>
      <c r="S24" s="21">
        <f t="shared" si="40"/>
        <v>9217.3101436695379</v>
      </c>
      <c r="T24" s="21">
        <f t="shared" si="40"/>
        <v>9539.9159986979721</v>
      </c>
      <c r="U24" s="23">
        <f t="shared" si="40"/>
        <v>9873.8130586524003</v>
      </c>
    </row>
    <row r="25" spans="2:21">
      <c r="B25" s="70" t="s">
        <v>29</v>
      </c>
      <c r="C25" s="22">
        <f>C23*Y14</f>
        <v>338.11046550823318</v>
      </c>
      <c r="D25" s="61">
        <f>C25*D8+C25</f>
        <v>348.25377947348017</v>
      </c>
      <c r="E25" s="22">
        <f t="shared" ref="E25:I25" si="41">D25*E8+D25</f>
        <v>339.54743498664317</v>
      </c>
      <c r="F25" s="21">
        <f t="shared" si="41"/>
        <v>344.64064651144281</v>
      </c>
      <c r="G25" s="21">
        <f t="shared" si="41"/>
        <v>349.81025620911447</v>
      </c>
      <c r="H25" s="21">
        <f t="shared" si="41"/>
        <v>355.05741005225121</v>
      </c>
      <c r="I25" s="21">
        <f t="shared" si="41"/>
        <v>360.38327120303501</v>
      </c>
      <c r="J25" s="21">
        <f>I25*J8+I25</f>
        <v>365.78902027108052</v>
      </c>
      <c r="K25" s="23">
        <f>J25*K8+J25</f>
        <v>371.27585557514675</v>
      </c>
      <c r="L25" s="105"/>
      <c r="M25" s="70" t="s">
        <v>29</v>
      </c>
      <c r="N25" s="21">
        <f>K25*N8+K25</f>
        <v>376.84499340877397</v>
      </c>
      <c r="O25" s="21">
        <f t="shared" si="40"/>
        <v>380.61344334286173</v>
      </c>
      <c r="P25" s="21">
        <f t="shared" si="40"/>
        <v>384.41957777629034</v>
      </c>
      <c r="Q25" s="21">
        <f t="shared" si="40"/>
        <v>388.26377355405322</v>
      </c>
      <c r="R25" s="21">
        <f t="shared" si="40"/>
        <v>392.14641128959374</v>
      </c>
      <c r="S25" s="21">
        <f t="shared" si="40"/>
        <v>396.06787540248968</v>
      </c>
      <c r="T25" s="21">
        <f t="shared" si="40"/>
        <v>400.02855415651459</v>
      </c>
      <c r="U25" s="23">
        <f t="shared" si="40"/>
        <v>404.02883969807971</v>
      </c>
    </row>
    <row r="26" spans="2:21">
      <c r="B26" s="70" t="s">
        <v>30</v>
      </c>
      <c r="C26" s="22">
        <f>C23*Z14</f>
        <v>113.71897510660172</v>
      </c>
      <c r="D26" s="61">
        <f>C26*D8+C26</f>
        <v>117.13054435979977</v>
      </c>
      <c r="E26" s="22">
        <f t="shared" ref="E26:I26" si="42">D26*E8+D26</f>
        <v>114.20228075080477</v>
      </c>
      <c r="F26" s="21">
        <f t="shared" si="42"/>
        <v>115.91531496206684</v>
      </c>
      <c r="G26" s="21">
        <f t="shared" si="42"/>
        <v>117.65404468649784</v>
      </c>
      <c r="H26" s="21">
        <f t="shared" si="42"/>
        <v>119.41885535679531</v>
      </c>
      <c r="I26" s="21">
        <f t="shared" si="42"/>
        <v>121.21013818714724</v>
      </c>
      <c r="J26" s="21">
        <f>I26*J8+I26</f>
        <v>123.02829025995445</v>
      </c>
      <c r="K26" s="23">
        <f>J26*K8+J26</f>
        <v>124.87371461385376</v>
      </c>
      <c r="L26" s="105"/>
      <c r="M26" s="70" t="s">
        <v>30</v>
      </c>
      <c r="N26" s="21">
        <f>K26*N8+K26</f>
        <v>126.74682033306156</v>
      </c>
      <c r="O26" s="21">
        <f t="shared" ref="O26:U26" si="43">N26*O8+N26</f>
        <v>128.01428853639217</v>
      </c>
      <c r="P26" s="21">
        <f t="shared" si="43"/>
        <v>129.29443142175609</v>
      </c>
      <c r="Q26" s="21">
        <f t="shared" si="43"/>
        <v>130.58737573597364</v>
      </c>
      <c r="R26" s="21">
        <f t="shared" si="43"/>
        <v>131.89324949333337</v>
      </c>
      <c r="S26" s="21">
        <f t="shared" si="43"/>
        <v>133.21218198826671</v>
      </c>
      <c r="T26" s="21">
        <f t="shared" si="43"/>
        <v>134.54430380814938</v>
      </c>
      <c r="U26" s="23">
        <f t="shared" si="43"/>
        <v>135.88974684623088</v>
      </c>
    </row>
    <row r="27" spans="2:21">
      <c r="B27" s="70" t="s">
        <v>31</v>
      </c>
      <c r="C27" s="22">
        <f>C23*AA14</f>
        <v>515.62154197495488</v>
      </c>
      <c r="D27" s="61">
        <f>C27*D8+C27</f>
        <v>531.09018823420354</v>
      </c>
      <c r="E27" s="22">
        <f t="shared" ref="E27:I27" si="44">D27*E8+D27</f>
        <v>517.81293352834848</v>
      </c>
      <c r="F27" s="21">
        <f t="shared" si="44"/>
        <v>525.58012753127366</v>
      </c>
      <c r="G27" s="21">
        <f t="shared" si="44"/>
        <v>533.46382944424272</v>
      </c>
      <c r="H27" s="21">
        <f t="shared" si="44"/>
        <v>541.46578688590637</v>
      </c>
      <c r="I27" s="21">
        <f t="shared" si="44"/>
        <v>549.58777368919493</v>
      </c>
      <c r="J27" s="21">
        <f>I27*J8+I27</f>
        <v>557.83159029453282</v>
      </c>
      <c r="K27" s="23">
        <f>J27*K8+J27</f>
        <v>566.19906414895081</v>
      </c>
      <c r="L27" s="105"/>
      <c r="M27" s="70" t="s">
        <v>31</v>
      </c>
      <c r="N27" s="21">
        <f>K27*N8+K27</f>
        <v>574.69205011118504</v>
      </c>
      <c r="O27" s="21">
        <f t="shared" ref="O27:U27" si="45">N27*O8+N27</f>
        <v>580.43897061229688</v>
      </c>
      <c r="P27" s="21">
        <f t="shared" si="45"/>
        <v>586.24336031841983</v>
      </c>
      <c r="Q27" s="21">
        <f t="shared" si="45"/>
        <v>592.105793921604</v>
      </c>
      <c r="R27" s="21">
        <f t="shared" si="45"/>
        <v>598.02685186081999</v>
      </c>
      <c r="S27" s="21">
        <f t="shared" si="45"/>
        <v>604.00712037942822</v>
      </c>
      <c r="T27" s="21">
        <f t="shared" si="45"/>
        <v>610.04719158322246</v>
      </c>
      <c r="U27" s="23">
        <f t="shared" si="45"/>
        <v>616.14766349905472</v>
      </c>
    </row>
    <row r="28" spans="2:21">
      <c r="B28" s="70" t="s">
        <v>32</v>
      </c>
      <c r="C28" s="22">
        <f>C23*AB14</f>
        <v>2725.5103391030284</v>
      </c>
      <c r="D28" s="61">
        <f>C28*D8+C28</f>
        <v>2807.2756492761191</v>
      </c>
      <c r="E28" s="22">
        <f t="shared" ref="E28:I28" si="46">D28*E8+D28</f>
        <v>2737.093758044216</v>
      </c>
      <c r="F28" s="21">
        <f t="shared" si="46"/>
        <v>2778.1501644148793</v>
      </c>
      <c r="G28" s="21">
        <f t="shared" si="46"/>
        <v>2819.8224168811025</v>
      </c>
      <c r="H28" s="21">
        <f t="shared" si="46"/>
        <v>2862.1197531343191</v>
      </c>
      <c r="I28" s="21">
        <f t="shared" si="46"/>
        <v>2905.051549431334</v>
      </c>
      <c r="J28" s="21">
        <f>I28*J8+I28</f>
        <v>2948.627322672804</v>
      </c>
      <c r="K28" s="23">
        <f>J28*K8+J28</f>
        <v>2992.8567325128961</v>
      </c>
      <c r="L28" s="105"/>
      <c r="M28" s="70" t="s">
        <v>32</v>
      </c>
      <c r="N28" s="21">
        <f>K28*N8+K28</f>
        <v>3037.7495835005893</v>
      </c>
      <c r="O28" s="21">
        <f t="shared" ref="O28:U28" si="47">N28*O8+N28</f>
        <v>3068.1270793355952</v>
      </c>
      <c r="P28" s="21">
        <f t="shared" si="47"/>
        <v>3098.8083501289511</v>
      </c>
      <c r="Q28" s="21">
        <f t="shared" si="47"/>
        <v>3129.7964336302407</v>
      </c>
      <c r="R28" s="21">
        <f t="shared" si="47"/>
        <v>3161.0943979665431</v>
      </c>
      <c r="S28" s="21">
        <f t="shared" si="47"/>
        <v>3192.7053419462086</v>
      </c>
      <c r="T28" s="21">
        <f t="shared" si="47"/>
        <v>3224.6323953656706</v>
      </c>
      <c r="U28" s="23">
        <f t="shared" si="47"/>
        <v>3256.8787193193275</v>
      </c>
    </row>
    <row r="29" spans="2:21" ht="15.75" thickBot="1">
      <c r="B29" s="71" t="s">
        <v>33</v>
      </c>
      <c r="C29" s="24">
        <f>C23*AC15</f>
        <v>15.332193036651804</v>
      </c>
      <c r="D29" s="52">
        <f>C29*D8+C29</f>
        <v>15.792158827751358</v>
      </c>
      <c r="E29" s="24">
        <f t="shared" ref="E29:I29" si="48">D29*E8+D29</f>
        <v>15.397354857057573</v>
      </c>
      <c r="F29" s="25">
        <f t="shared" si="48"/>
        <v>15.628315179913438</v>
      </c>
      <c r="G29" s="25">
        <f t="shared" si="48"/>
        <v>15.86273990761214</v>
      </c>
      <c r="H29" s="25">
        <f t="shared" si="48"/>
        <v>16.100681006226321</v>
      </c>
      <c r="I29" s="25">
        <f t="shared" si="48"/>
        <v>16.342191221319716</v>
      </c>
      <c r="J29" s="25">
        <f>I29*J8+I29</f>
        <v>16.587324089639512</v>
      </c>
      <c r="K29" s="26">
        <f>J29*K8+J29</f>
        <v>16.836133950984106</v>
      </c>
      <c r="L29" s="105"/>
      <c r="M29" s="71" t="s">
        <v>33</v>
      </c>
      <c r="N29" s="25">
        <f>K29*N8+K29</f>
        <v>17.088675960248867</v>
      </c>
      <c r="O29" s="25">
        <f t="shared" ref="O29:U29" si="49">N29*O8+N29</f>
        <v>17.259562719851356</v>
      </c>
      <c r="P29" s="25">
        <f t="shared" si="49"/>
        <v>17.432158347049871</v>
      </c>
      <c r="Q29" s="25">
        <f t="shared" si="49"/>
        <v>17.606479930520369</v>
      </c>
      <c r="R29" s="25">
        <f t="shared" si="49"/>
        <v>17.782544729825574</v>
      </c>
      <c r="S29" s="25">
        <f t="shared" si="49"/>
        <v>17.960370177123831</v>
      </c>
      <c r="T29" s="25">
        <f t="shared" si="49"/>
        <v>18.13997387889507</v>
      </c>
      <c r="U29" s="26">
        <f t="shared" si="49"/>
        <v>18.321373617684021</v>
      </c>
    </row>
    <row r="30" spans="2:21">
      <c r="B30" s="88" t="s">
        <v>13</v>
      </c>
      <c r="C30" s="92">
        <v>6540</v>
      </c>
      <c r="D30" s="94">
        <f>SUM(D31:D36)</f>
        <v>7095.9000000000005</v>
      </c>
      <c r="E30" s="95">
        <f t="shared" ref="E30:I30" si="50">SUM(E31:E36)</f>
        <v>6386.31</v>
      </c>
      <c r="F30" s="93">
        <f t="shared" si="50"/>
        <v>6641.7624000000005</v>
      </c>
      <c r="G30" s="93">
        <f t="shared" si="50"/>
        <v>6907.4328960000003</v>
      </c>
      <c r="H30" s="93">
        <f t="shared" si="50"/>
        <v>7183.7302118399994</v>
      </c>
      <c r="I30" s="93">
        <f t="shared" si="50"/>
        <v>7471.0794203136002</v>
      </c>
      <c r="J30" s="93">
        <f>SUM(J31:J36)</f>
        <v>7769.922597126144</v>
      </c>
      <c r="K30" s="94">
        <f>SUM(K31:K36)</f>
        <v>8080.71950101119</v>
      </c>
      <c r="L30" s="105"/>
      <c r="M30" s="88" t="s">
        <v>13</v>
      </c>
      <c r="N30" s="93">
        <f t="shared" ref="N30:U30" si="51">SUM(N31:N36)</f>
        <v>8403.9482810516383</v>
      </c>
      <c r="O30" s="93">
        <f t="shared" si="51"/>
        <v>8698.0864708884455</v>
      </c>
      <c r="P30" s="93">
        <f t="shared" si="51"/>
        <v>9002.5194973695397</v>
      </c>
      <c r="Q30" s="93">
        <f t="shared" si="51"/>
        <v>9317.6076797774749</v>
      </c>
      <c r="R30" s="93">
        <f t="shared" si="51"/>
        <v>9643.7239485696846</v>
      </c>
      <c r="S30" s="93">
        <f t="shared" si="51"/>
        <v>9981.2542867696266</v>
      </c>
      <c r="T30" s="93">
        <f t="shared" si="51"/>
        <v>10330.598186806563</v>
      </c>
      <c r="U30" s="94">
        <f t="shared" si="51"/>
        <v>10692.169123344791</v>
      </c>
    </row>
    <row r="31" spans="2:21">
      <c r="B31" s="70" t="s">
        <v>28</v>
      </c>
      <c r="C31" s="43">
        <f>C30*X13</f>
        <v>3567.2764631907726</v>
      </c>
      <c r="D31" s="23">
        <f>C31*D7+C31</f>
        <v>3870.4949625619884</v>
      </c>
      <c r="E31" s="20">
        <f t="shared" ref="E31:I31" si="52">D31*E7+D31</f>
        <v>3483.4454663057895</v>
      </c>
      <c r="F31" s="21">
        <f t="shared" si="52"/>
        <v>3622.7832849580209</v>
      </c>
      <c r="G31" s="21">
        <f t="shared" si="52"/>
        <v>3767.6946163563416</v>
      </c>
      <c r="H31" s="21">
        <f t="shared" si="52"/>
        <v>3918.4024010105954</v>
      </c>
      <c r="I31" s="21">
        <f t="shared" si="52"/>
        <v>4075.1384970510194</v>
      </c>
      <c r="J31" s="21">
        <f>I31*J7+I31</f>
        <v>4238.1440369330603</v>
      </c>
      <c r="K31" s="23">
        <f>J31*K7+J31</f>
        <v>4407.669798410383</v>
      </c>
      <c r="L31" s="105"/>
      <c r="M31" s="70" t="s">
        <v>28</v>
      </c>
      <c r="N31" s="21">
        <f>K31*N7+K31</f>
        <v>4583.9765903467987</v>
      </c>
      <c r="O31" s="21">
        <f t="shared" ref="O31:U31" si="53">N31*O7+N31</f>
        <v>4744.4157710089366</v>
      </c>
      <c r="P31" s="21">
        <f t="shared" si="53"/>
        <v>4910.4703229942497</v>
      </c>
      <c r="Q31" s="21">
        <f t="shared" si="53"/>
        <v>5082.3367842990483</v>
      </c>
      <c r="R31" s="21">
        <f t="shared" si="53"/>
        <v>5260.2185717495149</v>
      </c>
      <c r="S31" s="21">
        <f t="shared" si="53"/>
        <v>5444.326221760748</v>
      </c>
      <c r="T31" s="21">
        <f t="shared" si="53"/>
        <v>5634.877639522374</v>
      </c>
      <c r="U31" s="23">
        <f t="shared" si="53"/>
        <v>5832.0983569056571</v>
      </c>
    </row>
    <row r="32" spans="2:21">
      <c r="B32" s="70" t="s">
        <v>29</v>
      </c>
      <c r="C32" s="22">
        <f>C30*Y13</f>
        <v>171.48162701401591</v>
      </c>
      <c r="D32" s="23">
        <f>C32*D7+C32</f>
        <v>186.05756531020728</v>
      </c>
      <c r="E32" s="20">
        <f t="shared" ref="E32:I32" si="54">D32*E7+D32</f>
        <v>167.45180877918656</v>
      </c>
      <c r="F32" s="21">
        <f t="shared" si="54"/>
        <v>174.14988113035403</v>
      </c>
      <c r="G32" s="21">
        <f t="shared" si="54"/>
        <v>181.11587637556821</v>
      </c>
      <c r="H32" s="21">
        <f t="shared" si="54"/>
        <v>188.36051143059095</v>
      </c>
      <c r="I32" s="21">
        <f t="shared" si="54"/>
        <v>195.89493188781458</v>
      </c>
      <c r="J32" s="21">
        <f>I32*J7+I32</f>
        <v>203.73072916332717</v>
      </c>
      <c r="K32" s="23">
        <f>J32*K7+J32</f>
        <v>211.87995832986024</v>
      </c>
      <c r="L32" s="105"/>
      <c r="M32" s="70" t="s">
        <v>29</v>
      </c>
      <c r="N32" s="21">
        <f>K32*N7+K32</f>
        <v>220.35515666305466</v>
      </c>
      <c r="O32" s="21">
        <f t="shared" ref="O32:U32" si="55">N32*O7+N32</f>
        <v>228.06758714626156</v>
      </c>
      <c r="P32" s="21">
        <f t="shared" si="55"/>
        <v>236.04995269638073</v>
      </c>
      <c r="Q32" s="21">
        <f t="shared" si="55"/>
        <v>244.31170104075406</v>
      </c>
      <c r="R32" s="21">
        <f t="shared" si="55"/>
        <v>252.86261057718045</v>
      </c>
      <c r="S32" s="21">
        <f t="shared" si="55"/>
        <v>261.71280194738176</v>
      </c>
      <c r="T32" s="21">
        <f t="shared" si="55"/>
        <v>270.87275001554013</v>
      </c>
      <c r="U32" s="23">
        <f t="shared" si="55"/>
        <v>280.35329626608404</v>
      </c>
    </row>
    <row r="33" spans="1:31">
      <c r="B33" s="70" t="s">
        <v>30</v>
      </c>
      <c r="C33" s="22">
        <f>C30*Z13</f>
        <v>32.519921278380124</v>
      </c>
      <c r="D33" s="23">
        <f>C33*D7+C33</f>
        <v>35.284114587042438</v>
      </c>
      <c r="E33" s="20">
        <f t="shared" ref="E33:I33" si="56">D33*E7+D33</f>
        <v>31.755703128338194</v>
      </c>
      <c r="F33" s="21">
        <f t="shared" si="56"/>
        <v>33.025931253471718</v>
      </c>
      <c r="G33" s="21">
        <f t="shared" si="56"/>
        <v>34.34696850361059</v>
      </c>
      <c r="H33" s="21">
        <f t="shared" si="56"/>
        <v>35.720847243755017</v>
      </c>
      <c r="I33" s="21">
        <f t="shared" si="56"/>
        <v>37.149681133505219</v>
      </c>
      <c r="J33" s="21">
        <f>I33*J7+I33</f>
        <v>38.63566837884543</v>
      </c>
      <c r="K33" s="23">
        <f>J33*K7+J33</f>
        <v>40.181095113999248</v>
      </c>
      <c r="L33" s="105"/>
      <c r="M33" s="70" t="s">
        <v>30</v>
      </c>
      <c r="N33" s="21">
        <f>K33*N7+K33</f>
        <v>41.788338918559219</v>
      </c>
      <c r="O33" s="21">
        <f t="shared" ref="O33:U33" si="57">N33*O7+N33</f>
        <v>43.250930780708792</v>
      </c>
      <c r="P33" s="21">
        <f t="shared" si="57"/>
        <v>44.764713358033603</v>
      </c>
      <c r="Q33" s="21">
        <f t="shared" si="57"/>
        <v>46.331478325564781</v>
      </c>
      <c r="R33" s="21">
        <f t="shared" si="57"/>
        <v>47.953080066959551</v>
      </c>
      <c r="S33" s="21">
        <f t="shared" si="57"/>
        <v>49.631437869303134</v>
      </c>
      <c r="T33" s="21">
        <f t="shared" si="57"/>
        <v>51.368538194728742</v>
      </c>
      <c r="U33" s="23">
        <f t="shared" si="57"/>
        <v>53.166437031544248</v>
      </c>
    </row>
    <row r="34" spans="1:31">
      <c r="B34" s="70" t="s">
        <v>31</v>
      </c>
      <c r="C34" s="22">
        <f>C30*AA13</f>
        <v>393.31570838147314</v>
      </c>
      <c r="D34" s="23">
        <f>C34*D7+C34</f>
        <v>426.74754359389834</v>
      </c>
      <c r="E34" s="20">
        <f t="shared" ref="E34:I34" si="58">D34*E7+D34</f>
        <v>384.07278923450849</v>
      </c>
      <c r="F34" s="21">
        <f t="shared" si="58"/>
        <v>399.43570080388884</v>
      </c>
      <c r="G34" s="21">
        <f t="shared" si="58"/>
        <v>415.41312883604439</v>
      </c>
      <c r="H34" s="21">
        <f t="shared" si="58"/>
        <v>432.02965398948618</v>
      </c>
      <c r="I34" s="21">
        <f t="shared" si="58"/>
        <v>449.3108401490656</v>
      </c>
      <c r="J34" s="21">
        <f>I34*J7+I34</f>
        <v>467.28327375502823</v>
      </c>
      <c r="K34" s="23">
        <f>J34*K7+J34</f>
        <v>485.97460470522935</v>
      </c>
      <c r="L34" s="105"/>
      <c r="M34" s="70" t="s">
        <v>31</v>
      </c>
      <c r="N34" s="21">
        <f>K34*N7+K34</f>
        <v>505.41358889343854</v>
      </c>
      <c r="O34" s="21">
        <f t="shared" ref="O34:U34" si="59">N34*O7+N34</f>
        <v>523.10306450470887</v>
      </c>
      <c r="P34" s="21">
        <f t="shared" si="59"/>
        <v>541.41167176237366</v>
      </c>
      <c r="Q34" s="21">
        <f t="shared" si="59"/>
        <v>560.36108027405669</v>
      </c>
      <c r="R34" s="21">
        <f t="shared" si="59"/>
        <v>579.97371808364869</v>
      </c>
      <c r="S34" s="21">
        <f t="shared" si="59"/>
        <v>600.27279821657635</v>
      </c>
      <c r="T34" s="21">
        <f t="shared" si="59"/>
        <v>621.28234615415647</v>
      </c>
      <c r="U34" s="23">
        <f t="shared" si="59"/>
        <v>643.02722826955198</v>
      </c>
    </row>
    <row r="35" spans="1:31">
      <c r="B35" s="70" t="s">
        <v>32</v>
      </c>
      <c r="C35" s="22">
        <f>C30*AB13</f>
        <v>2357.5901850996966</v>
      </c>
      <c r="D35" s="23">
        <f>C35*D7+C35</f>
        <v>2557.9853508331707</v>
      </c>
      <c r="E35" s="20">
        <f t="shared" ref="E35:I35" si="60">D35*E7+D35</f>
        <v>2302.1868157498538</v>
      </c>
      <c r="F35" s="21">
        <f t="shared" si="60"/>
        <v>2394.2742883798478</v>
      </c>
      <c r="G35" s="21">
        <f t="shared" si="60"/>
        <v>2490.0452599150417</v>
      </c>
      <c r="H35" s="21">
        <f t="shared" si="60"/>
        <v>2589.6470703116433</v>
      </c>
      <c r="I35" s="21">
        <f t="shared" si="60"/>
        <v>2693.2329531241089</v>
      </c>
      <c r="J35" s="21">
        <f>I35*J7+I35</f>
        <v>2800.9622712490732</v>
      </c>
      <c r="K35" s="23">
        <f>J35*K7+J35</f>
        <v>2913.0007620990359</v>
      </c>
      <c r="L35" s="105"/>
      <c r="M35" s="70" t="s">
        <v>32</v>
      </c>
      <c r="N35" s="21">
        <f>K35*N7+K35</f>
        <v>3029.5207925829973</v>
      </c>
      <c r="O35" s="21">
        <f t="shared" ref="O35:U35" si="61">N35*O7+N35</f>
        <v>3135.5540203234023</v>
      </c>
      <c r="P35" s="21">
        <f t="shared" si="61"/>
        <v>3245.2984110347215</v>
      </c>
      <c r="Q35" s="21">
        <f t="shared" si="61"/>
        <v>3358.8838554209369</v>
      </c>
      <c r="R35" s="21">
        <f t="shared" si="61"/>
        <v>3476.4447903606697</v>
      </c>
      <c r="S35" s="21">
        <f t="shared" si="61"/>
        <v>3598.1203580232932</v>
      </c>
      <c r="T35" s="21">
        <f t="shared" si="61"/>
        <v>3724.0545705541085</v>
      </c>
      <c r="U35" s="23">
        <f t="shared" si="61"/>
        <v>3854.3964805235023</v>
      </c>
    </row>
    <row r="36" spans="1:31" ht="15.75" thickBot="1">
      <c r="B36" s="71" t="s">
        <v>33</v>
      </c>
      <c r="C36" s="24">
        <f>C30*AC13</f>
        <v>17.816095035661832</v>
      </c>
      <c r="D36" s="26">
        <f>C36*D7+C36</f>
        <v>19.330463113693089</v>
      </c>
      <c r="E36" s="30">
        <f t="shared" ref="E36:I36" si="62">D36*E7+D36</f>
        <v>17.397416802323779</v>
      </c>
      <c r="F36" s="25">
        <f t="shared" si="62"/>
        <v>18.093313474416728</v>
      </c>
      <c r="G36" s="25">
        <f t="shared" si="62"/>
        <v>18.817046013393398</v>
      </c>
      <c r="H36" s="25">
        <f t="shared" si="62"/>
        <v>19.569727853929134</v>
      </c>
      <c r="I36" s="25">
        <f t="shared" si="62"/>
        <v>20.352516968086299</v>
      </c>
      <c r="J36" s="25">
        <f>I36*J7+I36</f>
        <v>21.166617646809751</v>
      </c>
      <c r="K36" s="26">
        <f>J36*K7+J36</f>
        <v>22.01328235268214</v>
      </c>
      <c r="L36" s="105"/>
      <c r="M36" s="71" t="s">
        <v>33</v>
      </c>
      <c r="N36" s="25">
        <f>K36*N7+K36</f>
        <v>22.893813646789425</v>
      </c>
      <c r="O36" s="25">
        <f t="shared" ref="O36:U36" si="63">N36*O7+N36</f>
        <v>23.695097124427054</v>
      </c>
      <c r="P36" s="25">
        <f t="shared" si="63"/>
        <v>24.524425523782</v>
      </c>
      <c r="Q36" s="25">
        <f t="shared" si="63"/>
        <v>25.382780417114368</v>
      </c>
      <c r="R36" s="25">
        <f t="shared" si="63"/>
        <v>26.271177731713372</v>
      </c>
      <c r="S36" s="25">
        <f t="shared" si="63"/>
        <v>27.190668952323339</v>
      </c>
      <c r="T36" s="25">
        <f t="shared" si="63"/>
        <v>28.142342365654656</v>
      </c>
      <c r="U36" s="26">
        <f t="shared" si="63"/>
        <v>29.127324348452568</v>
      </c>
    </row>
    <row r="37" spans="1:31">
      <c r="B37" s="5"/>
      <c r="C37" s="66"/>
      <c r="D37" s="66"/>
      <c r="E37" s="66"/>
      <c r="F37" s="66"/>
      <c r="G37" s="66"/>
      <c r="H37" s="66"/>
      <c r="I37" s="66"/>
      <c r="J37" s="66"/>
      <c r="K37" s="66"/>
      <c r="L37" s="105"/>
      <c r="M37" s="66"/>
      <c r="N37" s="66"/>
      <c r="O37" s="66"/>
      <c r="P37" s="66"/>
      <c r="Q37" s="66"/>
      <c r="R37" s="66"/>
      <c r="S37" s="66"/>
      <c r="T37" s="66"/>
      <c r="U37" s="50"/>
    </row>
    <row r="39" spans="1:31" ht="17.25" customHeight="1">
      <c r="B39" s="637" t="s">
        <v>22</v>
      </c>
      <c r="C39" s="637"/>
      <c r="D39" s="637"/>
      <c r="E39" s="637"/>
      <c r="F39" s="637"/>
      <c r="G39" s="637"/>
      <c r="H39" s="637"/>
      <c r="I39" s="637"/>
      <c r="J39" s="637"/>
      <c r="K39" s="637"/>
      <c r="L39" s="637"/>
      <c r="M39" s="637"/>
      <c r="N39" s="637"/>
      <c r="O39" s="637"/>
      <c r="P39" s="637"/>
      <c r="Q39" s="637"/>
      <c r="R39" s="637"/>
      <c r="S39" s="637"/>
      <c r="T39" s="637"/>
      <c r="U39" s="41"/>
    </row>
    <row r="40" spans="1:31" ht="9.9499999999999993" customHeight="1" thickBot="1">
      <c r="L40" s="105"/>
      <c r="U40" s="41"/>
    </row>
    <row r="41" spans="1:31" s="37" customFormat="1">
      <c r="A41" s="135"/>
      <c r="B41" s="107" t="s">
        <v>19</v>
      </c>
      <c r="C41" s="44">
        <v>2022</v>
      </c>
      <c r="D41" s="35">
        <v>2023</v>
      </c>
      <c r="E41" s="33">
        <v>2024</v>
      </c>
      <c r="F41" s="34">
        <v>2025</v>
      </c>
      <c r="G41" s="34">
        <v>2026</v>
      </c>
      <c r="H41" s="34">
        <v>2027</v>
      </c>
      <c r="I41" s="34">
        <v>2028</v>
      </c>
      <c r="J41" s="34">
        <v>2029</v>
      </c>
      <c r="K41" s="35">
        <v>2030</v>
      </c>
      <c r="L41" s="105"/>
      <c r="M41" s="100" t="s">
        <v>19</v>
      </c>
      <c r="N41" s="33">
        <v>2031</v>
      </c>
      <c r="O41" s="34">
        <v>2032</v>
      </c>
      <c r="P41" s="34">
        <v>2033</v>
      </c>
      <c r="Q41" s="34">
        <v>2034</v>
      </c>
      <c r="R41" s="34">
        <v>2035</v>
      </c>
      <c r="S41" s="34">
        <v>2036</v>
      </c>
      <c r="T41" s="34">
        <v>2037</v>
      </c>
      <c r="U41" s="35">
        <v>2038</v>
      </c>
      <c r="V41" s="41"/>
      <c r="W41" s="41"/>
      <c r="X41" s="41"/>
      <c r="Y41" s="41"/>
      <c r="Z41" s="41"/>
      <c r="AA41" s="41"/>
      <c r="AB41" s="41"/>
    </row>
    <row r="42" spans="1:31" s="37" customFormat="1">
      <c r="A42" s="36"/>
      <c r="B42" s="108"/>
      <c r="C42" s="45" t="s">
        <v>25</v>
      </c>
      <c r="D42" s="40"/>
      <c r="E42" s="49">
        <v>1</v>
      </c>
      <c r="F42" s="39">
        <v>2</v>
      </c>
      <c r="G42" s="39">
        <v>3</v>
      </c>
      <c r="H42" s="39">
        <v>4</v>
      </c>
      <c r="I42" s="39">
        <v>5</v>
      </c>
      <c r="J42" s="39">
        <v>6</v>
      </c>
      <c r="K42" s="40">
        <v>7</v>
      </c>
      <c r="L42" s="105"/>
      <c r="M42" s="101"/>
      <c r="N42" s="49">
        <v>8</v>
      </c>
      <c r="O42" s="39">
        <v>9</v>
      </c>
      <c r="P42" s="39">
        <v>10</v>
      </c>
      <c r="Q42" s="39">
        <v>11</v>
      </c>
      <c r="R42" s="39">
        <v>12</v>
      </c>
      <c r="S42" s="39">
        <v>13</v>
      </c>
      <c r="T42" s="39">
        <v>14</v>
      </c>
      <c r="U42" s="40">
        <v>15</v>
      </c>
      <c r="V42" s="41"/>
      <c r="W42" s="41"/>
      <c r="X42" s="41"/>
      <c r="Y42" s="41"/>
      <c r="Z42" s="41"/>
      <c r="AA42" s="41"/>
      <c r="AB42" s="41"/>
    </row>
    <row r="43" spans="1:31" s="37" customFormat="1">
      <c r="A43" s="136"/>
      <c r="B43" s="47" t="s">
        <v>20</v>
      </c>
      <c r="C43" s="45"/>
      <c r="D43" s="119">
        <v>8.5000000000000006E-2</v>
      </c>
      <c r="E43" s="120">
        <v>-0.1</v>
      </c>
      <c r="F43" s="121">
        <v>2.5000000000000001E-2</v>
      </c>
      <c r="G43" s="121">
        <f>F43</f>
        <v>2.5000000000000001E-2</v>
      </c>
      <c r="H43" s="121">
        <f t="shared" ref="H43:K44" si="64">G43</f>
        <v>2.5000000000000001E-2</v>
      </c>
      <c r="I43" s="121">
        <f t="shared" si="64"/>
        <v>2.5000000000000001E-2</v>
      </c>
      <c r="J43" s="121">
        <f t="shared" si="64"/>
        <v>2.5000000000000001E-2</v>
      </c>
      <c r="K43" s="122">
        <f t="shared" si="64"/>
        <v>2.5000000000000001E-2</v>
      </c>
      <c r="L43" s="105"/>
      <c r="M43" s="38" t="s">
        <v>20</v>
      </c>
      <c r="N43" s="124">
        <f>K43</f>
        <v>2.5000000000000001E-2</v>
      </c>
      <c r="O43" s="121">
        <v>0.02</v>
      </c>
      <c r="P43" s="121">
        <f t="shared" ref="P43:U44" si="65">O43</f>
        <v>0.02</v>
      </c>
      <c r="Q43" s="121">
        <f t="shared" si="65"/>
        <v>0.02</v>
      </c>
      <c r="R43" s="121">
        <f t="shared" si="65"/>
        <v>0.02</v>
      </c>
      <c r="S43" s="121">
        <f t="shared" si="65"/>
        <v>0.02</v>
      </c>
      <c r="T43" s="121">
        <f t="shared" si="65"/>
        <v>0.02</v>
      </c>
      <c r="U43" s="122">
        <f t="shared" si="65"/>
        <v>0.02</v>
      </c>
      <c r="V43" s="41"/>
      <c r="W43" s="41"/>
      <c r="X43" s="41"/>
      <c r="Y43" s="41"/>
      <c r="Z43" s="41"/>
      <c r="AA43" s="41"/>
      <c r="AB43" s="41"/>
    </row>
    <row r="44" spans="1:31" s="37" customFormat="1" ht="15.75" thickBot="1">
      <c r="A44" s="5"/>
      <c r="B44" s="113" t="s">
        <v>27</v>
      </c>
      <c r="C44" s="114"/>
      <c r="D44" s="115">
        <v>0.03</v>
      </c>
      <c r="E44" s="116">
        <v>-2.5000000000000001E-2</v>
      </c>
      <c r="F44" s="117">
        <v>1.2E-2</v>
      </c>
      <c r="G44" s="117">
        <f>F44</f>
        <v>1.2E-2</v>
      </c>
      <c r="H44" s="117">
        <f t="shared" si="64"/>
        <v>1.2E-2</v>
      </c>
      <c r="I44" s="117">
        <f t="shared" si="64"/>
        <v>1.2E-2</v>
      </c>
      <c r="J44" s="117">
        <f t="shared" si="64"/>
        <v>1.2E-2</v>
      </c>
      <c r="K44" s="118">
        <f t="shared" si="64"/>
        <v>1.2E-2</v>
      </c>
      <c r="L44" s="105"/>
      <c r="M44" s="113" t="s">
        <v>27</v>
      </c>
      <c r="N44" s="123">
        <f>K44</f>
        <v>1.2E-2</v>
      </c>
      <c r="O44" s="117">
        <v>8.0000000000000002E-3</v>
      </c>
      <c r="P44" s="117">
        <f t="shared" si="65"/>
        <v>8.0000000000000002E-3</v>
      </c>
      <c r="Q44" s="117">
        <f t="shared" si="65"/>
        <v>8.0000000000000002E-3</v>
      </c>
      <c r="R44" s="117">
        <f t="shared" si="65"/>
        <v>8.0000000000000002E-3</v>
      </c>
      <c r="S44" s="117">
        <f t="shared" si="65"/>
        <v>8.0000000000000002E-3</v>
      </c>
      <c r="T44" s="117">
        <f t="shared" si="65"/>
        <v>8.0000000000000002E-3</v>
      </c>
      <c r="U44" s="118">
        <f t="shared" si="65"/>
        <v>8.0000000000000002E-3</v>
      </c>
      <c r="V44" s="41"/>
      <c r="W44" s="41"/>
      <c r="X44" s="41"/>
      <c r="Y44" s="41"/>
      <c r="Z44" s="41"/>
      <c r="AA44" s="41"/>
      <c r="AB44" s="41"/>
    </row>
    <row r="45" spans="1:31" ht="15.75" customHeight="1">
      <c r="B45" s="88" t="s">
        <v>16</v>
      </c>
      <c r="C45" s="90">
        <v>15906</v>
      </c>
      <c r="D45" s="91">
        <f>SUM(D46:D51)</f>
        <v>17008.65387336351</v>
      </c>
      <c r="E45" s="90">
        <f t="shared" ref="E45:K45" si="66">SUM(E46:E51)</f>
        <v>15658.0205002575</v>
      </c>
      <c r="F45" s="97">
        <f t="shared" si="66"/>
        <v>15990.28180235901</v>
      </c>
      <c r="G45" s="97">
        <f t="shared" si="66"/>
        <v>16330.139366488196</v>
      </c>
      <c r="H45" s="97">
        <f t="shared" si="66"/>
        <v>16677.774575949457</v>
      </c>
      <c r="I45" s="97">
        <f t="shared" si="66"/>
        <v>17033.373246350839</v>
      </c>
      <c r="J45" s="97">
        <f t="shared" si="66"/>
        <v>17397.125735184287</v>
      </c>
      <c r="K45" s="98">
        <f t="shared" si="66"/>
        <v>17769.227054130664</v>
      </c>
      <c r="L45" s="105"/>
      <c r="M45" s="88" t="s">
        <v>16</v>
      </c>
      <c r="N45" s="106">
        <f t="shared" ref="N45:U45" si="67">SUM(N46:N51)</f>
        <v>18149.876984157505</v>
      </c>
      <c r="O45" s="97">
        <f t="shared" si="67"/>
        <v>18453.480325118497</v>
      </c>
      <c r="P45" s="97">
        <f t="shared" si="67"/>
        <v>18762.680579308922</v>
      </c>
      <c r="Q45" s="97">
        <f t="shared" si="67"/>
        <v>19077.585883764663</v>
      </c>
      <c r="R45" s="97">
        <f t="shared" si="67"/>
        <v>19398.306507852478</v>
      </c>
      <c r="S45" s="97">
        <f t="shared" si="67"/>
        <v>19724.954895673352</v>
      </c>
      <c r="T45" s="97">
        <f t="shared" si="67"/>
        <v>20057.645709311946</v>
      </c>
      <c r="U45" s="98">
        <f t="shared" si="67"/>
        <v>20396.495872949115</v>
      </c>
    </row>
    <row r="46" spans="1:31" ht="15.75" customHeight="1">
      <c r="B46" s="76" t="s">
        <v>28</v>
      </c>
      <c r="C46" s="22">
        <f>C45*X51</f>
        <v>11372.252242972931</v>
      </c>
      <c r="D46" s="61">
        <f t="shared" ref="D46:K46" si="68">(C46*D43)+C46</f>
        <v>12338.893683625629</v>
      </c>
      <c r="E46" s="22">
        <f t="shared" si="68"/>
        <v>11105.004315263066</v>
      </c>
      <c r="F46" s="21">
        <f t="shared" si="68"/>
        <v>11382.629423144643</v>
      </c>
      <c r="G46" s="21">
        <f t="shared" si="68"/>
        <v>11667.195158723258</v>
      </c>
      <c r="H46" s="21">
        <f t="shared" si="68"/>
        <v>11958.875037691339</v>
      </c>
      <c r="I46" s="21">
        <f t="shared" si="68"/>
        <v>12257.846913633623</v>
      </c>
      <c r="J46" s="21">
        <f t="shared" si="68"/>
        <v>12564.293086474463</v>
      </c>
      <c r="K46" s="23">
        <f t="shared" si="68"/>
        <v>12878.400413636326</v>
      </c>
      <c r="L46" s="105"/>
      <c r="M46" s="101" t="s">
        <v>28</v>
      </c>
      <c r="N46" s="20">
        <f>(K46*N43)+K46</f>
        <v>13200.360423977234</v>
      </c>
      <c r="O46" s="21">
        <f t="shared" ref="O46:U47" si="69">(N46*O43)+N46</f>
        <v>13464.367632456779</v>
      </c>
      <c r="P46" s="21">
        <f t="shared" si="69"/>
        <v>13733.654985105914</v>
      </c>
      <c r="Q46" s="21">
        <f t="shared" si="69"/>
        <v>14008.328084808032</v>
      </c>
      <c r="R46" s="21">
        <f t="shared" si="69"/>
        <v>14288.494646504192</v>
      </c>
      <c r="S46" s="21">
        <f t="shared" si="69"/>
        <v>14574.264539434276</v>
      </c>
      <c r="T46" s="21">
        <f t="shared" si="69"/>
        <v>14865.749830222961</v>
      </c>
      <c r="U46" s="23">
        <f t="shared" si="69"/>
        <v>15163.06482682742</v>
      </c>
    </row>
    <row r="47" spans="1:31" ht="15.75" customHeight="1">
      <c r="B47" s="76" t="s">
        <v>29</v>
      </c>
      <c r="C47" s="22">
        <f>C45*$Y$15</f>
        <v>406.48551904742135</v>
      </c>
      <c r="D47" s="61">
        <f>(C47*D44)+C47</f>
        <v>418.68008461884398</v>
      </c>
      <c r="E47" s="22">
        <f t="shared" ref="E47:K47" si="70">(D47*E44)+D47</f>
        <v>408.2130825033729</v>
      </c>
      <c r="F47" s="21">
        <f t="shared" si="70"/>
        <v>413.11163949341335</v>
      </c>
      <c r="G47" s="21">
        <f t="shared" si="70"/>
        <v>418.06897916733431</v>
      </c>
      <c r="H47" s="21">
        <f t="shared" si="70"/>
        <v>423.08580691734232</v>
      </c>
      <c r="I47" s="21">
        <f t="shared" si="70"/>
        <v>428.16283660035043</v>
      </c>
      <c r="J47" s="21">
        <f t="shared" si="70"/>
        <v>433.30079063955463</v>
      </c>
      <c r="K47" s="23">
        <f t="shared" si="70"/>
        <v>438.50040012722928</v>
      </c>
      <c r="L47" s="105"/>
      <c r="M47" s="101" t="s">
        <v>29</v>
      </c>
      <c r="N47" s="20">
        <f>(K47*N44)+K47</f>
        <v>443.76240492875604</v>
      </c>
      <c r="O47" s="21">
        <f t="shared" si="69"/>
        <v>447.31250416818608</v>
      </c>
      <c r="P47" s="21">
        <f t="shared" si="69"/>
        <v>450.89100420153159</v>
      </c>
      <c r="Q47" s="21">
        <f t="shared" si="69"/>
        <v>454.49813223514383</v>
      </c>
      <c r="R47" s="21">
        <f t="shared" si="69"/>
        <v>458.13411729302499</v>
      </c>
      <c r="S47" s="21">
        <f t="shared" si="69"/>
        <v>461.79919023136921</v>
      </c>
      <c r="T47" s="21">
        <f t="shared" si="69"/>
        <v>465.49358375322015</v>
      </c>
      <c r="U47" s="23">
        <f t="shared" si="69"/>
        <v>469.21753242324593</v>
      </c>
      <c r="W47" s="78" t="s">
        <v>34</v>
      </c>
      <c r="X47" s="79" t="s">
        <v>35</v>
      </c>
      <c r="Y47" s="79" t="s">
        <v>36</v>
      </c>
      <c r="Z47" s="79" t="s">
        <v>37</v>
      </c>
      <c r="AA47" s="79" t="s">
        <v>38</v>
      </c>
      <c r="AB47" s="79" t="s">
        <v>39</v>
      </c>
      <c r="AC47" s="79" t="s">
        <v>40</v>
      </c>
      <c r="AD47" s="79" t="s">
        <v>45</v>
      </c>
      <c r="AE47" s="79" t="s">
        <v>46</v>
      </c>
    </row>
    <row r="48" spans="1:31" ht="15.75" customHeight="1">
      <c r="B48" s="76" t="s">
        <v>30</v>
      </c>
      <c r="C48" s="22">
        <f>C45*$Z$15</f>
        <v>102.67752431663583</v>
      </c>
      <c r="D48" s="61">
        <f>(C48*D44)+C48</f>
        <v>105.75785004613491</v>
      </c>
      <c r="E48" s="22">
        <f t="shared" ref="E48:K48" si="71">(D48*E44)+D48</f>
        <v>103.11390379498154</v>
      </c>
      <c r="F48" s="21">
        <f t="shared" si="71"/>
        <v>104.35127064052132</v>
      </c>
      <c r="G48" s="21">
        <f t="shared" si="71"/>
        <v>105.60348588820757</v>
      </c>
      <c r="H48" s="21">
        <f t="shared" si="71"/>
        <v>106.87072771886606</v>
      </c>
      <c r="I48" s="21">
        <f t="shared" si="71"/>
        <v>108.15317645149246</v>
      </c>
      <c r="J48" s="21">
        <f t="shared" si="71"/>
        <v>109.45101456891037</v>
      </c>
      <c r="K48" s="23">
        <f t="shared" si="71"/>
        <v>110.76442674373729</v>
      </c>
      <c r="L48" s="105"/>
      <c r="M48" s="101" t="s">
        <v>30</v>
      </c>
      <c r="N48" s="20">
        <f>(K48*N44)+K48</f>
        <v>112.09359986466214</v>
      </c>
      <c r="O48" s="21">
        <f t="shared" ref="O48:U48" si="72">(N48*O44)+N48</f>
        <v>112.99034866357944</v>
      </c>
      <c r="P48" s="21">
        <f t="shared" si="72"/>
        <v>113.89427145288808</v>
      </c>
      <c r="Q48" s="21">
        <f t="shared" si="72"/>
        <v>114.80542562451119</v>
      </c>
      <c r="R48" s="21">
        <f t="shared" si="72"/>
        <v>115.72386902950727</v>
      </c>
      <c r="S48" s="21">
        <f t="shared" si="72"/>
        <v>116.64965998174333</v>
      </c>
      <c r="T48" s="21">
        <f t="shared" si="72"/>
        <v>117.58285726159727</v>
      </c>
      <c r="U48" s="23">
        <f t="shared" si="72"/>
        <v>118.52352011969005</v>
      </c>
      <c r="W48" s="80" t="s">
        <v>41</v>
      </c>
      <c r="X48" s="72">
        <v>0.68464013186883643</v>
      </c>
      <c r="Y48" s="72">
        <v>3.0316391288490917E-2</v>
      </c>
      <c r="Z48" s="72">
        <v>5.9112646681444359E-3</v>
      </c>
      <c r="AA48" s="72">
        <v>4.8967159609488727E-2</v>
      </c>
      <c r="AB48" s="72">
        <v>0.22843880131407679</v>
      </c>
      <c r="AC48" s="72">
        <v>1.7262512509627387E-3</v>
      </c>
      <c r="AD48" s="72">
        <v>0</v>
      </c>
      <c r="AE48" s="81">
        <v>1</v>
      </c>
    </row>
    <row r="49" spans="2:31" ht="15.75" customHeight="1">
      <c r="B49" s="76" t="s">
        <v>31</v>
      </c>
      <c r="C49" s="22">
        <f>C45*$AA$15</f>
        <v>690.6418279378945</v>
      </c>
      <c r="D49" s="61">
        <f>(C49*D44)+C49</f>
        <v>711.36108277603137</v>
      </c>
      <c r="E49" s="22">
        <f t="shared" ref="E49:K49" si="73">(D49*E44)+D49</f>
        <v>693.57705570663063</v>
      </c>
      <c r="F49" s="21">
        <f t="shared" si="73"/>
        <v>701.8999803751102</v>
      </c>
      <c r="G49" s="21">
        <f t="shared" si="73"/>
        <v>710.3227801396115</v>
      </c>
      <c r="H49" s="21">
        <f t="shared" si="73"/>
        <v>718.84665350128682</v>
      </c>
      <c r="I49" s="21">
        <f t="shared" si="73"/>
        <v>727.47281334330228</v>
      </c>
      <c r="J49" s="21">
        <f t="shared" si="73"/>
        <v>736.20248710342196</v>
      </c>
      <c r="K49" s="23">
        <f t="shared" si="73"/>
        <v>745.03691694866302</v>
      </c>
      <c r="L49" s="105"/>
      <c r="M49" s="101" t="s">
        <v>31</v>
      </c>
      <c r="N49" s="20">
        <f>(K49*N44)+K49</f>
        <v>753.97735995204698</v>
      </c>
      <c r="O49" s="21">
        <f t="shared" ref="O49:U49" si="74">(N49*O44)+N49</f>
        <v>760.00917883166335</v>
      </c>
      <c r="P49" s="21">
        <f t="shared" si="74"/>
        <v>766.08925226231668</v>
      </c>
      <c r="Q49" s="21">
        <f t="shared" si="74"/>
        <v>772.21796628041523</v>
      </c>
      <c r="R49" s="21">
        <f t="shared" si="74"/>
        <v>778.3957100106586</v>
      </c>
      <c r="S49" s="21">
        <f t="shared" si="74"/>
        <v>784.62287569074385</v>
      </c>
      <c r="T49" s="21">
        <f t="shared" si="74"/>
        <v>790.8998586962698</v>
      </c>
      <c r="U49" s="23">
        <f t="shared" si="74"/>
        <v>797.22705756583991</v>
      </c>
      <c r="W49" s="80" t="s">
        <v>42</v>
      </c>
      <c r="X49" s="72">
        <v>0.54545511669583679</v>
      </c>
      <c r="Y49" s="72">
        <v>2.6220432265140047E-2</v>
      </c>
      <c r="Z49" s="72">
        <v>4.9724650272752486E-3</v>
      </c>
      <c r="AA49" s="72">
        <v>6.0140016572090692E-2</v>
      </c>
      <c r="AB49" s="72">
        <v>0.36048779588680374</v>
      </c>
      <c r="AC49" s="72">
        <v>2.7241735528534912E-3</v>
      </c>
      <c r="AD49" s="72">
        <v>0</v>
      </c>
      <c r="AE49" s="82">
        <v>0.99999999999999989</v>
      </c>
    </row>
    <row r="50" spans="2:31" ht="15.75" customHeight="1">
      <c r="B50" s="76" t="s">
        <v>32</v>
      </c>
      <c r="C50" s="22">
        <f>C45*$AB$15</f>
        <v>3308.9378757342447</v>
      </c>
      <c r="D50" s="61">
        <f>(C50*D44)+C50</f>
        <v>3408.206012006272</v>
      </c>
      <c r="E50" s="22">
        <f t="shared" ref="E50:K50" si="75">(D50*E44)+D50</f>
        <v>3323.0008617061153</v>
      </c>
      <c r="F50" s="21">
        <f t="shared" si="75"/>
        <v>3362.8768720465887</v>
      </c>
      <c r="G50" s="21">
        <f t="shared" si="75"/>
        <v>3403.2313945111478</v>
      </c>
      <c r="H50" s="21">
        <f t="shared" si="75"/>
        <v>3444.0701712452815</v>
      </c>
      <c r="I50" s="21">
        <f t="shared" si="75"/>
        <v>3485.3990133002249</v>
      </c>
      <c r="J50" s="21">
        <f t="shared" si="75"/>
        <v>3527.2238014598274</v>
      </c>
      <c r="K50" s="23">
        <f t="shared" si="75"/>
        <v>3569.5504870773452</v>
      </c>
      <c r="L50" s="105"/>
      <c r="M50" s="101" t="s">
        <v>32</v>
      </c>
      <c r="N50" s="20">
        <f>(K50*N44)+K50</f>
        <v>3612.3850929222735</v>
      </c>
      <c r="O50" s="21">
        <f t="shared" ref="O50:U50" si="76">(N50*O44)+N50</f>
        <v>3641.2841736656519</v>
      </c>
      <c r="P50" s="21">
        <f t="shared" si="76"/>
        <v>3670.4144470549772</v>
      </c>
      <c r="Q50" s="21">
        <f t="shared" si="76"/>
        <v>3699.7777626314169</v>
      </c>
      <c r="R50" s="21">
        <f t="shared" si="76"/>
        <v>3729.3759847324682</v>
      </c>
      <c r="S50" s="21">
        <f t="shared" si="76"/>
        <v>3759.210992610328</v>
      </c>
      <c r="T50" s="21">
        <f t="shared" si="76"/>
        <v>3789.2846805512108</v>
      </c>
      <c r="U50" s="23">
        <f t="shared" si="76"/>
        <v>3819.5989579956204</v>
      </c>
      <c r="W50" s="80" t="s">
        <v>43</v>
      </c>
      <c r="X50" s="72">
        <v>0.61923943392940406</v>
      </c>
      <c r="Y50" s="72">
        <v>3.4667329591739279E-2</v>
      </c>
      <c r="Z50" s="72">
        <v>1.165989696571329E-2</v>
      </c>
      <c r="AA50" s="72">
        <v>5.286799364041371E-2</v>
      </c>
      <c r="AB50" s="72">
        <v>0.27945353625582164</v>
      </c>
      <c r="AC50" s="72">
        <v>2.1118096169079601E-3</v>
      </c>
      <c r="AD50" s="72">
        <v>0</v>
      </c>
      <c r="AE50" s="81">
        <v>1</v>
      </c>
    </row>
    <row r="51" spans="2:31" ht="15.75" customHeight="1" thickBot="1">
      <c r="B51" s="77" t="s">
        <v>33</v>
      </c>
      <c r="C51" s="24">
        <f>C45*$AC$15</f>
        <v>25.005009990872921</v>
      </c>
      <c r="D51" s="52">
        <f>(C51*D44)+C51</f>
        <v>25.755160290599107</v>
      </c>
      <c r="E51" s="65">
        <f t="shared" ref="E51:K51" si="77">(D51*E44)+D51</f>
        <v>25.111281283334129</v>
      </c>
      <c r="F51" s="67">
        <f t="shared" si="77"/>
        <v>25.412616658734137</v>
      </c>
      <c r="G51" s="67">
        <f t="shared" si="77"/>
        <v>25.717568058638946</v>
      </c>
      <c r="H51" s="67">
        <f t="shared" si="77"/>
        <v>26.026178875342612</v>
      </c>
      <c r="I51" s="67">
        <f t="shared" si="77"/>
        <v>26.338493021846723</v>
      </c>
      <c r="J51" s="67">
        <f t="shared" si="77"/>
        <v>26.654554938108884</v>
      </c>
      <c r="K51" s="68">
        <f t="shared" si="77"/>
        <v>26.97440959736619</v>
      </c>
      <c r="L51" s="105"/>
      <c r="M51" s="102" t="s">
        <v>33</v>
      </c>
      <c r="N51" s="86">
        <f>(K51*N44)+K51</f>
        <v>27.298102512534584</v>
      </c>
      <c r="O51" s="67">
        <f t="shared" ref="O51:U51" si="78">(N51*O44)+N51</f>
        <v>27.51648733263486</v>
      </c>
      <c r="P51" s="67">
        <f t="shared" si="78"/>
        <v>27.73661923129594</v>
      </c>
      <c r="Q51" s="67">
        <f t="shared" si="78"/>
        <v>27.958512185146308</v>
      </c>
      <c r="R51" s="67">
        <f t="shared" si="78"/>
        <v>28.182180282627478</v>
      </c>
      <c r="S51" s="67">
        <f t="shared" si="78"/>
        <v>28.407637724888499</v>
      </c>
      <c r="T51" s="67">
        <f t="shared" si="78"/>
        <v>28.634898826687607</v>
      </c>
      <c r="U51" s="68">
        <f t="shared" si="78"/>
        <v>28.863978017301108</v>
      </c>
      <c r="W51" s="80" t="s">
        <v>44</v>
      </c>
      <c r="X51" s="73">
        <v>0.71496619156123042</v>
      </c>
      <c r="Y51" s="73">
        <v>2.5555483405470977E-2</v>
      </c>
      <c r="Z51" s="73">
        <v>6.4552699809276894E-3</v>
      </c>
      <c r="AA51" s="73">
        <v>4.3420207967929995E-2</v>
      </c>
      <c r="AB51" s="73">
        <v>0.20803079817265463</v>
      </c>
      <c r="AC51" s="73">
        <v>1.572048911786302E-3</v>
      </c>
      <c r="AD51" s="73">
        <v>0</v>
      </c>
      <c r="AE51" s="83">
        <v>1</v>
      </c>
    </row>
    <row r="52" spans="2:31">
      <c r="B52" s="88" t="s">
        <v>12</v>
      </c>
      <c r="C52" s="92">
        <v>9743</v>
      </c>
      <c r="D52" s="96">
        <f>SUM(D53:D58)</f>
        <v>10402.164684263893</v>
      </c>
      <c r="E52" s="92">
        <f t="shared" ref="E52:K52" si="79">SUM(E53:E58)</f>
        <v>9599.3027956668539</v>
      </c>
      <c r="F52" s="93">
        <f t="shared" si="79"/>
        <v>9799.1724415673652</v>
      </c>
      <c r="G52" s="93">
        <f t="shared" si="79"/>
        <v>10003.557473527493</v>
      </c>
      <c r="H52" s="93">
        <f t="shared" si="79"/>
        <v>10212.56499993768</v>
      </c>
      <c r="I52" s="93">
        <f t="shared" si="79"/>
        <v>10426.304737582983</v>
      </c>
      <c r="J52" s="93">
        <f t="shared" si="79"/>
        <v>10644.88907602118</v>
      </c>
      <c r="K52" s="94">
        <f t="shared" si="79"/>
        <v>10868.433143560316</v>
      </c>
      <c r="L52" s="105"/>
      <c r="M52" s="88" t="s">
        <v>12</v>
      </c>
      <c r="N52" s="95">
        <f t="shared" ref="N52:U52" si="80">SUM(N53:N58)</f>
        <v>11097.054874875597</v>
      </c>
      <c r="O52" s="93">
        <f t="shared" si="80"/>
        <v>11278.744126427559</v>
      </c>
      <c r="P52" s="93">
        <f t="shared" si="80"/>
        <v>11463.745148242991</v>
      </c>
      <c r="Q52" s="93">
        <f t="shared" si="80"/>
        <v>11652.12159960903</v>
      </c>
      <c r="R52" s="93">
        <f t="shared" si="80"/>
        <v>11843.938392389598</v>
      </c>
      <c r="S52" s="93">
        <f t="shared" si="80"/>
        <v>12039.261715912089</v>
      </c>
      <c r="T52" s="93">
        <f t="shared" si="80"/>
        <v>12238.159062350422</v>
      </c>
      <c r="U52" s="94">
        <f t="shared" si="80"/>
        <v>12440.699252614486</v>
      </c>
    </row>
    <row r="53" spans="2:31">
      <c r="B53" s="84" t="s">
        <v>28</v>
      </c>
      <c r="C53" s="22">
        <f>C52*X48</f>
        <v>6670.4488047980731</v>
      </c>
      <c r="D53" s="61">
        <f>(D43*C53)+C53</f>
        <v>7237.436953205909</v>
      </c>
      <c r="E53" s="22">
        <f t="shared" ref="E53:K53" si="81">(E43*D53)+D53</f>
        <v>6513.6932578853184</v>
      </c>
      <c r="F53" s="21">
        <f t="shared" si="81"/>
        <v>6676.5355893324513</v>
      </c>
      <c r="G53" s="21">
        <f t="shared" si="81"/>
        <v>6843.4489790657626</v>
      </c>
      <c r="H53" s="21">
        <f t="shared" si="81"/>
        <v>7014.5352035424066</v>
      </c>
      <c r="I53" s="21">
        <f t="shared" si="81"/>
        <v>7189.8985836309666</v>
      </c>
      <c r="J53" s="21">
        <f t="shared" si="81"/>
        <v>7369.6460482217408</v>
      </c>
      <c r="K53" s="23">
        <f t="shared" si="81"/>
        <v>7553.887199427284</v>
      </c>
      <c r="L53" s="105"/>
      <c r="M53" s="70" t="s">
        <v>28</v>
      </c>
      <c r="N53" s="20">
        <f>(N43*K53)+K53</f>
        <v>7742.7343794129665</v>
      </c>
      <c r="O53" s="21">
        <f t="shared" ref="O53:U53" si="82">(O43*N53)+N53</f>
        <v>7897.5890670012259</v>
      </c>
      <c r="P53" s="21">
        <f t="shared" si="82"/>
        <v>8055.5408483412502</v>
      </c>
      <c r="Q53" s="21">
        <f t="shared" si="82"/>
        <v>8216.6516653080744</v>
      </c>
      <c r="R53" s="21">
        <f t="shared" si="82"/>
        <v>8380.9846986142365</v>
      </c>
      <c r="S53" s="21">
        <f t="shared" si="82"/>
        <v>8548.6043925865215</v>
      </c>
      <c r="T53" s="21">
        <f t="shared" si="82"/>
        <v>8719.5764804382525</v>
      </c>
      <c r="U53" s="23">
        <f t="shared" si="82"/>
        <v>8893.9680100470177</v>
      </c>
    </row>
    <row r="54" spans="2:31">
      <c r="B54" s="84" t="s">
        <v>29</v>
      </c>
      <c r="C54" s="22">
        <f>C52*Y48</f>
        <v>295.37260032376702</v>
      </c>
      <c r="D54" s="61">
        <f>(C54*D44)+C54</f>
        <v>304.23377833348002</v>
      </c>
      <c r="E54" s="22">
        <f t="shared" ref="E54:K54" si="83">(D54*E44)+D54</f>
        <v>296.62793387514301</v>
      </c>
      <c r="F54" s="21">
        <f t="shared" si="83"/>
        <v>300.18746908164474</v>
      </c>
      <c r="G54" s="21">
        <f t="shared" si="83"/>
        <v>303.78971871062447</v>
      </c>
      <c r="H54" s="21">
        <f t="shared" si="83"/>
        <v>307.43519533515195</v>
      </c>
      <c r="I54" s="21">
        <f t="shared" si="83"/>
        <v>311.12441767917375</v>
      </c>
      <c r="J54" s="21">
        <f t="shared" si="83"/>
        <v>314.85791069132381</v>
      </c>
      <c r="K54" s="23">
        <f t="shared" si="83"/>
        <v>318.63620561961972</v>
      </c>
      <c r="L54" s="105"/>
      <c r="M54" s="70" t="s">
        <v>29</v>
      </c>
      <c r="N54" s="20">
        <f>(K54*N44)+K54</f>
        <v>322.45984008705517</v>
      </c>
      <c r="O54" s="21">
        <f t="shared" ref="O54:U54" si="84">(N54*O44)+N54</f>
        <v>325.03951880775162</v>
      </c>
      <c r="P54" s="21">
        <f t="shared" si="84"/>
        <v>327.63983495821361</v>
      </c>
      <c r="Q54" s="21">
        <f t="shared" si="84"/>
        <v>330.26095363787931</v>
      </c>
      <c r="R54" s="21">
        <f t="shared" si="84"/>
        <v>332.90304126698237</v>
      </c>
      <c r="S54" s="21">
        <f t="shared" si="84"/>
        <v>335.56626559711822</v>
      </c>
      <c r="T54" s="21">
        <f t="shared" si="84"/>
        <v>338.25079572189514</v>
      </c>
      <c r="U54" s="23">
        <f t="shared" si="84"/>
        <v>340.95680208767033</v>
      </c>
    </row>
    <row r="55" spans="2:31">
      <c r="B55" s="84" t="s">
        <v>30</v>
      </c>
      <c r="C55" s="22">
        <f>C52*Z48</f>
        <v>57.593451661731237</v>
      </c>
      <c r="D55" s="61">
        <f>C55*D44+C55</f>
        <v>59.321255211583171</v>
      </c>
      <c r="E55" s="22">
        <f t="shared" ref="E55:K55" si="85">D55*E44+D55</f>
        <v>57.83822383129359</v>
      </c>
      <c r="F55" s="21">
        <f t="shared" si="85"/>
        <v>58.53228251726911</v>
      </c>
      <c r="G55" s="21">
        <f t="shared" si="85"/>
        <v>59.234669907476338</v>
      </c>
      <c r="H55" s="21">
        <f t="shared" si="85"/>
        <v>59.945485946366055</v>
      </c>
      <c r="I55" s="21">
        <f t="shared" si="85"/>
        <v>60.664831777722448</v>
      </c>
      <c r="J55" s="21">
        <f t="shared" si="85"/>
        <v>61.392809759055119</v>
      </c>
      <c r="K55" s="23">
        <f t="shared" si="85"/>
        <v>62.129523476163783</v>
      </c>
      <c r="L55" s="105"/>
      <c r="M55" s="70" t="s">
        <v>30</v>
      </c>
      <c r="N55" s="20">
        <f>K55*N44+K55</f>
        <v>62.875077757877747</v>
      </c>
      <c r="O55" s="21">
        <f t="shared" ref="O55:U55" si="86">N55*O44+N55</f>
        <v>63.378078379940767</v>
      </c>
      <c r="P55" s="21">
        <f t="shared" si="86"/>
        <v>63.885103006980295</v>
      </c>
      <c r="Q55" s="21">
        <f t="shared" si="86"/>
        <v>64.39618383103614</v>
      </c>
      <c r="R55" s="21">
        <f t="shared" si="86"/>
        <v>64.911353301684429</v>
      </c>
      <c r="S55" s="21">
        <f t="shared" si="86"/>
        <v>65.43064412809791</v>
      </c>
      <c r="T55" s="21">
        <f t="shared" si="86"/>
        <v>65.954089281122691</v>
      </c>
      <c r="U55" s="23">
        <f t="shared" si="86"/>
        <v>66.481721995371672</v>
      </c>
    </row>
    <row r="56" spans="2:31">
      <c r="B56" s="84" t="s">
        <v>31</v>
      </c>
      <c r="C56" s="22">
        <f>C52*AA48</f>
        <v>477.08703607524865</v>
      </c>
      <c r="D56" s="61">
        <f>C56*D44+C56</f>
        <v>491.39964715750608</v>
      </c>
      <c r="E56" s="22">
        <f t="shared" ref="E56:K56" si="87">D56*E44+D56</f>
        <v>479.11465597856841</v>
      </c>
      <c r="F56" s="21">
        <f t="shared" si="87"/>
        <v>484.86403185031122</v>
      </c>
      <c r="G56" s="21">
        <f t="shared" si="87"/>
        <v>490.68240023251496</v>
      </c>
      <c r="H56" s="21">
        <f t="shared" si="87"/>
        <v>496.57058903530515</v>
      </c>
      <c r="I56" s="21">
        <f t="shared" si="87"/>
        <v>502.52943610372881</v>
      </c>
      <c r="J56" s="21">
        <f t="shared" si="87"/>
        <v>508.55978933697355</v>
      </c>
      <c r="K56" s="23">
        <f t="shared" si="87"/>
        <v>514.66250680901726</v>
      </c>
      <c r="L56" s="105"/>
      <c r="M56" s="70" t="s">
        <v>31</v>
      </c>
      <c r="N56" s="20">
        <f>K56*N44+K56</f>
        <v>520.83845689072541</v>
      </c>
      <c r="O56" s="21">
        <f t="shared" ref="O56:U56" si="88">N56*O44+N56</f>
        <v>525.00516454585124</v>
      </c>
      <c r="P56" s="21">
        <f t="shared" si="88"/>
        <v>529.20520586221801</v>
      </c>
      <c r="Q56" s="21">
        <f t="shared" si="88"/>
        <v>533.4388475091157</v>
      </c>
      <c r="R56" s="21">
        <f t="shared" si="88"/>
        <v>537.70635828918864</v>
      </c>
      <c r="S56" s="21">
        <f t="shared" si="88"/>
        <v>542.00800915550212</v>
      </c>
      <c r="T56" s="21">
        <f t="shared" si="88"/>
        <v>546.34407322874608</v>
      </c>
      <c r="U56" s="23">
        <f t="shared" si="88"/>
        <v>550.7148258145761</v>
      </c>
    </row>
    <row r="57" spans="2:31">
      <c r="B57" s="84" t="s">
        <v>32</v>
      </c>
      <c r="C57" s="22">
        <f>C52*AB48</f>
        <v>2225.67924120305</v>
      </c>
      <c r="D57" s="61">
        <f>C57*D44+C57</f>
        <v>2292.4496184391414</v>
      </c>
      <c r="E57" s="22">
        <f t="shared" ref="E57:K57" si="89">D57*E44+D57</f>
        <v>2235.1383779781627</v>
      </c>
      <c r="F57" s="21">
        <f t="shared" si="89"/>
        <v>2261.9600385139006</v>
      </c>
      <c r="G57" s="21">
        <f t="shared" si="89"/>
        <v>2289.1035589760672</v>
      </c>
      <c r="H57" s="21">
        <f t="shared" si="89"/>
        <v>2316.5728016837802</v>
      </c>
      <c r="I57" s="21">
        <f t="shared" si="89"/>
        <v>2344.3716753039857</v>
      </c>
      <c r="J57" s="21">
        <f t="shared" si="89"/>
        <v>2372.5041354076334</v>
      </c>
      <c r="K57" s="23">
        <f t="shared" si="89"/>
        <v>2400.9741850325249</v>
      </c>
      <c r="L57" s="105"/>
      <c r="M57" s="70" t="s">
        <v>32</v>
      </c>
      <c r="N57" s="20">
        <f>K57*N44+K57</f>
        <v>2429.785875252915</v>
      </c>
      <c r="O57" s="21">
        <f t="shared" ref="O57:U57" si="90">N57*O44+N57</f>
        <v>2449.2241622549382</v>
      </c>
      <c r="P57" s="21">
        <f t="shared" si="90"/>
        <v>2468.8179555529778</v>
      </c>
      <c r="Q57" s="21">
        <f t="shared" si="90"/>
        <v>2488.5684991974017</v>
      </c>
      <c r="R57" s="21">
        <f t="shared" si="90"/>
        <v>2508.477047190981</v>
      </c>
      <c r="S57" s="21">
        <f t="shared" si="90"/>
        <v>2528.5448635685088</v>
      </c>
      <c r="T57" s="21">
        <f t="shared" si="90"/>
        <v>2548.7732224770571</v>
      </c>
      <c r="U57" s="23">
        <f t="shared" si="90"/>
        <v>2569.1634082568735</v>
      </c>
    </row>
    <row r="58" spans="2:31" ht="15.75" thickBot="1">
      <c r="B58" s="85" t="s">
        <v>33</v>
      </c>
      <c r="C58" s="24">
        <f>C52*AC48</f>
        <v>16.818865938129964</v>
      </c>
      <c r="D58" s="52">
        <f>C58*D44+C58</f>
        <v>17.323431916273861</v>
      </c>
      <c r="E58" s="65">
        <f t="shared" ref="E58:K58" si="91">D58*E44+D58</f>
        <v>16.890346118367013</v>
      </c>
      <c r="F58" s="67">
        <f t="shared" si="91"/>
        <v>17.093030271787416</v>
      </c>
      <c r="G58" s="67">
        <f t="shared" si="91"/>
        <v>17.298146635048866</v>
      </c>
      <c r="H58" s="67">
        <f t="shared" si="91"/>
        <v>17.505724394669453</v>
      </c>
      <c r="I58" s="67">
        <f t="shared" si="91"/>
        <v>17.715793087405487</v>
      </c>
      <c r="J58" s="67">
        <f t="shared" si="91"/>
        <v>17.928382604454352</v>
      </c>
      <c r="K58" s="68">
        <f t="shared" si="91"/>
        <v>18.143523195707804</v>
      </c>
      <c r="L58" s="105"/>
      <c r="M58" s="71" t="s">
        <v>33</v>
      </c>
      <c r="N58" s="86">
        <f>K58*N44+K58</f>
        <v>18.361245474056297</v>
      </c>
      <c r="O58" s="67">
        <f t="shared" ref="O58:U58" si="92">N58*O44+N58</f>
        <v>18.508135437848747</v>
      </c>
      <c r="P58" s="67">
        <f t="shared" si="92"/>
        <v>18.656200521351536</v>
      </c>
      <c r="Q58" s="67">
        <f t="shared" si="92"/>
        <v>18.805450125522349</v>
      </c>
      <c r="R58" s="67">
        <f t="shared" si="92"/>
        <v>18.955893726526526</v>
      </c>
      <c r="S58" s="67">
        <f t="shared" si="92"/>
        <v>19.107540876338739</v>
      </c>
      <c r="T58" s="67">
        <f t="shared" si="92"/>
        <v>19.260401203349449</v>
      </c>
      <c r="U58" s="68">
        <f t="shared" si="92"/>
        <v>19.414484412976243</v>
      </c>
    </row>
    <row r="59" spans="2:31">
      <c r="B59" s="88" t="s">
        <v>11</v>
      </c>
      <c r="C59" s="92">
        <v>9753</v>
      </c>
      <c r="D59" s="96">
        <f>SUM(D60:D65)</f>
        <v>10372.337106209476</v>
      </c>
      <c r="E59" s="92">
        <f t="shared" ref="E59:K59" si="93">SUM(E60:E65)</f>
        <v>9621.5690696013808</v>
      </c>
      <c r="F59" s="93">
        <f t="shared" si="93"/>
        <v>9813.6955974332432</v>
      </c>
      <c r="G59" s="93">
        <f t="shared" si="93"/>
        <v>10010.044336074005</v>
      </c>
      <c r="H59" s="93">
        <f t="shared" si="93"/>
        <v>10210.713869365245</v>
      </c>
      <c r="I59" s="93">
        <f t="shared" si="93"/>
        <v>10415.805162087438</v>
      </c>
      <c r="J59" s="93">
        <f t="shared" si="93"/>
        <v>10625.421618479542</v>
      </c>
      <c r="K59" s="94">
        <f t="shared" si="93"/>
        <v>10839.669142209528</v>
      </c>
      <c r="L59" s="105"/>
      <c r="M59" s="88" t="s">
        <v>11</v>
      </c>
      <c r="N59" s="95">
        <f t="shared" ref="N59:U59" si="94">SUM(N60:N65)</f>
        <v>11058.656197831981</v>
      </c>
      <c r="O59" s="93">
        <f t="shared" si="94"/>
        <v>11231.248956550486</v>
      </c>
      <c r="P59" s="93">
        <f t="shared" si="94"/>
        <v>11406.904927521453</v>
      </c>
      <c r="Q59" s="93">
        <f t="shared" si="94"/>
        <v>11585.682265846563</v>
      </c>
      <c r="R59" s="93">
        <f t="shared" si="94"/>
        <v>11767.640264856371</v>
      </c>
      <c r="S59" s="93">
        <f t="shared" si="94"/>
        <v>11952.839378675915</v>
      </c>
      <c r="T59" s="93">
        <f t="shared" si="94"/>
        <v>12141.341245240033</v>
      </c>
      <c r="U59" s="94">
        <f t="shared" si="94"/>
        <v>12333.208709767361</v>
      </c>
    </row>
    <row r="60" spans="2:31">
      <c r="B60" s="84" t="s">
        <v>28</v>
      </c>
      <c r="C60" s="22">
        <f>C59*X50</f>
        <v>6039.4421991134777</v>
      </c>
      <c r="D60" s="61">
        <f>C60*D43+C60</f>
        <v>6552.7947860381237</v>
      </c>
      <c r="E60" s="22">
        <f t="shared" ref="E60:K60" si="95">D60*E43+D60</f>
        <v>5897.5153074343116</v>
      </c>
      <c r="F60" s="21">
        <f t="shared" si="95"/>
        <v>6044.953190120169</v>
      </c>
      <c r="G60" s="21">
        <f t="shared" si="95"/>
        <v>6196.0770198731734</v>
      </c>
      <c r="H60" s="21">
        <f t="shared" si="95"/>
        <v>6350.9789453700032</v>
      </c>
      <c r="I60" s="21">
        <f t="shared" si="95"/>
        <v>6509.7534190042534</v>
      </c>
      <c r="J60" s="21">
        <f t="shared" si="95"/>
        <v>6672.49725447936</v>
      </c>
      <c r="K60" s="23">
        <f t="shared" si="95"/>
        <v>6839.3096858413437</v>
      </c>
      <c r="L60" s="105"/>
      <c r="M60" s="70" t="s">
        <v>28</v>
      </c>
      <c r="N60" s="20">
        <f>K60*N43+K60</f>
        <v>7010.2924279873769</v>
      </c>
      <c r="O60" s="21">
        <f t="shared" ref="O60:U61" si="96">N60*O43+N60</f>
        <v>7150.4982765471241</v>
      </c>
      <c r="P60" s="21">
        <f t="shared" si="96"/>
        <v>7293.5082420780664</v>
      </c>
      <c r="Q60" s="21">
        <f t="shared" si="96"/>
        <v>7439.3784069196281</v>
      </c>
      <c r="R60" s="21">
        <f t="shared" si="96"/>
        <v>7588.1659750580211</v>
      </c>
      <c r="S60" s="21">
        <f t="shared" si="96"/>
        <v>7739.9292945591815</v>
      </c>
      <c r="T60" s="21">
        <f t="shared" si="96"/>
        <v>7894.7278804503649</v>
      </c>
      <c r="U60" s="23">
        <f t="shared" si="96"/>
        <v>8052.6224380593721</v>
      </c>
    </row>
    <row r="61" spans="2:31">
      <c r="B61" s="84" t="s">
        <v>29</v>
      </c>
      <c r="C61" s="22">
        <f>C59*Y50</f>
        <v>338.11046550823318</v>
      </c>
      <c r="D61" s="61">
        <f>C61*D44+C61</f>
        <v>348.25377947348017</v>
      </c>
      <c r="E61" s="22">
        <f t="shared" ref="E61:K61" si="97">D61*E44+D61</f>
        <v>339.54743498664317</v>
      </c>
      <c r="F61" s="21">
        <f t="shared" si="97"/>
        <v>343.62200420648287</v>
      </c>
      <c r="G61" s="21">
        <f t="shared" si="97"/>
        <v>347.74546825696069</v>
      </c>
      <c r="H61" s="21">
        <f t="shared" si="97"/>
        <v>351.91841387604421</v>
      </c>
      <c r="I61" s="21">
        <f t="shared" si="97"/>
        <v>356.14143484255675</v>
      </c>
      <c r="J61" s="21">
        <f t="shared" si="97"/>
        <v>360.41513206066742</v>
      </c>
      <c r="K61" s="23">
        <f t="shared" si="97"/>
        <v>364.74011364539541</v>
      </c>
      <c r="L61" s="105"/>
      <c r="M61" s="70" t="s">
        <v>29</v>
      </c>
      <c r="N61" s="20">
        <f>K61*N44+K61</f>
        <v>369.11699500914017</v>
      </c>
      <c r="O61" s="21">
        <f t="shared" si="96"/>
        <v>372.06993096921332</v>
      </c>
      <c r="P61" s="21">
        <f t="shared" si="96"/>
        <v>375.046490416967</v>
      </c>
      <c r="Q61" s="21">
        <f t="shared" si="96"/>
        <v>378.04686234030277</v>
      </c>
      <c r="R61" s="21">
        <f t="shared" si="96"/>
        <v>381.07123723902521</v>
      </c>
      <c r="S61" s="21">
        <f t="shared" si="96"/>
        <v>384.11980713693742</v>
      </c>
      <c r="T61" s="21">
        <f t="shared" si="96"/>
        <v>387.19276559403295</v>
      </c>
      <c r="U61" s="23">
        <f t="shared" si="96"/>
        <v>390.29030771878519</v>
      </c>
    </row>
    <row r="62" spans="2:31">
      <c r="B62" s="84" t="s">
        <v>30</v>
      </c>
      <c r="C62" s="22">
        <f>C59*Z50</f>
        <v>113.71897510660172</v>
      </c>
      <c r="D62" s="61">
        <f>C62*D44+C62</f>
        <v>117.13054435979977</v>
      </c>
      <c r="E62" s="22">
        <f t="shared" ref="E62:K62" si="98">D62*E44+D62</f>
        <v>114.20228075080477</v>
      </c>
      <c r="F62" s="21">
        <f t="shared" si="98"/>
        <v>115.57270811981444</v>
      </c>
      <c r="G62" s="21">
        <f t="shared" si="98"/>
        <v>116.95958061725221</v>
      </c>
      <c r="H62" s="21">
        <f t="shared" si="98"/>
        <v>118.36309558465923</v>
      </c>
      <c r="I62" s="21">
        <f t="shared" si="98"/>
        <v>119.78345273167514</v>
      </c>
      <c r="J62" s="21">
        <f t="shared" si="98"/>
        <v>121.22085416445525</v>
      </c>
      <c r="K62" s="23">
        <f t="shared" si="98"/>
        <v>122.67550441442872</v>
      </c>
      <c r="L62" s="105"/>
      <c r="M62" s="70" t="s">
        <v>30</v>
      </c>
      <c r="N62" s="20">
        <f>K62*N44+K62</f>
        <v>124.14761046740186</v>
      </c>
      <c r="O62" s="21">
        <f t="shared" ref="O62:U62" si="99">N62*O44+N62</f>
        <v>125.14079135114108</v>
      </c>
      <c r="P62" s="21">
        <f t="shared" si="99"/>
        <v>126.1419176819502</v>
      </c>
      <c r="Q62" s="21">
        <f t="shared" si="99"/>
        <v>127.15105302340581</v>
      </c>
      <c r="R62" s="21">
        <f t="shared" si="99"/>
        <v>128.16826144759307</v>
      </c>
      <c r="S62" s="21">
        <f t="shared" si="99"/>
        <v>129.19360753917383</v>
      </c>
      <c r="T62" s="21">
        <f t="shared" si="99"/>
        <v>130.22715639948723</v>
      </c>
      <c r="U62" s="23">
        <f t="shared" si="99"/>
        <v>131.26897365068314</v>
      </c>
    </row>
    <row r="63" spans="2:31">
      <c r="B63" s="84" t="s">
        <v>31</v>
      </c>
      <c r="C63" s="22">
        <f>C59*AA50</f>
        <v>515.62154197495488</v>
      </c>
      <c r="D63" s="61">
        <f>C63*D44+C63</f>
        <v>531.09018823420354</v>
      </c>
      <c r="E63" s="22">
        <f t="shared" ref="E63:K63" si="100">D63*E44+D63</f>
        <v>517.81293352834848</v>
      </c>
      <c r="F63" s="21">
        <f t="shared" si="100"/>
        <v>524.02668873068865</v>
      </c>
      <c r="G63" s="21">
        <f t="shared" si="100"/>
        <v>530.31500899545688</v>
      </c>
      <c r="H63" s="21">
        <f t="shared" si="100"/>
        <v>536.67878910340232</v>
      </c>
      <c r="I63" s="21">
        <f t="shared" si="100"/>
        <v>543.11893457264318</v>
      </c>
      <c r="J63" s="21">
        <f t="shared" si="100"/>
        <v>549.63636178751494</v>
      </c>
      <c r="K63" s="23">
        <f t="shared" si="100"/>
        <v>556.23199812896507</v>
      </c>
      <c r="L63" s="105"/>
      <c r="M63" s="70" t="s">
        <v>31</v>
      </c>
      <c r="N63" s="20">
        <f>K63*N44+K63</f>
        <v>562.90678210651265</v>
      </c>
      <c r="O63" s="21">
        <f t="shared" ref="O63:U63" si="101">N63*O44+N63</f>
        <v>567.41003636336472</v>
      </c>
      <c r="P63" s="21">
        <f t="shared" si="101"/>
        <v>571.94931665427168</v>
      </c>
      <c r="Q63" s="21">
        <f t="shared" si="101"/>
        <v>576.52491118750584</v>
      </c>
      <c r="R63" s="21">
        <f t="shared" si="101"/>
        <v>581.13711047700588</v>
      </c>
      <c r="S63" s="21">
        <f t="shared" si="101"/>
        <v>585.78620736082189</v>
      </c>
      <c r="T63" s="21">
        <f t="shared" si="101"/>
        <v>590.4724970197085</v>
      </c>
      <c r="U63" s="23">
        <f t="shared" si="101"/>
        <v>595.19627699586613</v>
      </c>
    </row>
    <row r="64" spans="2:31">
      <c r="B64" s="84" t="s">
        <v>32</v>
      </c>
      <c r="C64" s="22">
        <f>C59*AB50</f>
        <v>2725.5103391030284</v>
      </c>
      <c r="D64" s="61">
        <f>C64*D44+C64</f>
        <v>2807.2756492761191</v>
      </c>
      <c r="E64" s="22">
        <f t="shared" ref="E64:K64" si="102">D64*E44+D64</f>
        <v>2737.093758044216</v>
      </c>
      <c r="F64" s="21">
        <f t="shared" si="102"/>
        <v>2769.9388831407464</v>
      </c>
      <c r="G64" s="21">
        <f t="shared" si="102"/>
        <v>2803.1781497384354</v>
      </c>
      <c r="H64" s="21">
        <f t="shared" si="102"/>
        <v>2836.8162875352969</v>
      </c>
      <c r="I64" s="21">
        <f t="shared" si="102"/>
        <v>2870.8580829857206</v>
      </c>
      <c r="J64" s="21">
        <f t="shared" si="102"/>
        <v>2905.308379981549</v>
      </c>
      <c r="K64" s="23">
        <f t="shared" si="102"/>
        <v>2940.1720805413274</v>
      </c>
      <c r="L64" s="105"/>
      <c r="M64" s="70" t="s">
        <v>32</v>
      </c>
      <c r="N64" s="20">
        <f>K64*N44+K64</f>
        <v>2975.4541455078233</v>
      </c>
      <c r="O64" s="21">
        <f t="shared" ref="O64:U64" si="103">N64*O44+N64</f>
        <v>2999.2577786718857</v>
      </c>
      <c r="P64" s="21">
        <f t="shared" si="103"/>
        <v>3023.2518409012609</v>
      </c>
      <c r="Q64" s="21">
        <f t="shared" si="103"/>
        <v>3047.437855628471</v>
      </c>
      <c r="R64" s="21">
        <f t="shared" si="103"/>
        <v>3071.8173584734986</v>
      </c>
      <c r="S64" s="21">
        <f t="shared" si="103"/>
        <v>3096.3918973412865</v>
      </c>
      <c r="T64" s="21">
        <f t="shared" si="103"/>
        <v>3121.1630325200167</v>
      </c>
      <c r="U64" s="23">
        <f t="shared" si="103"/>
        <v>3146.132336780177</v>
      </c>
    </row>
    <row r="65" spans="1:29" ht="15.75" thickBot="1">
      <c r="B65" s="85" t="s">
        <v>33</v>
      </c>
      <c r="C65" s="24">
        <f>C59*AC51</f>
        <v>15.332193036651804</v>
      </c>
      <c r="D65" s="52">
        <f>C65*D44+C65</f>
        <v>15.792158827751358</v>
      </c>
      <c r="E65" s="24">
        <f t="shared" ref="E65:K65" si="104">D65*E44+D65</f>
        <v>15.397354857057573</v>
      </c>
      <c r="F65" s="25">
        <f t="shared" si="104"/>
        <v>15.582123115342265</v>
      </c>
      <c r="G65" s="25">
        <f t="shared" si="104"/>
        <v>15.769108592726372</v>
      </c>
      <c r="H65" s="25">
        <f t="shared" si="104"/>
        <v>15.958337895839088</v>
      </c>
      <c r="I65" s="25">
        <f t="shared" si="104"/>
        <v>16.149837950589159</v>
      </c>
      <c r="J65" s="25">
        <f t="shared" si="104"/>
        <v>16.343636005996228</v>
      </c>
      <c r="K65" s="26">
        <f t="shared" si="104"/>
        <v>16.539759638068183</v>
      </c>
      <c r="L65" s="105"/>
      <c r="M65" s="71" t="s">
        <v>33</v>
      </c>
      <c r="N65" s="30">
        <f>K65*N44+K65</f>
        <v>16.738236753725001</v>
      </c>
      <c r="O65" s="25">
        <f t="shared" ref="O65:U65" si="105">N65*O44+N65</f>
        <v>16.872142647754803</v>
      </c>
      <c r="P65" s="25">
        <f t="shared" si="105"/>
        <v>17.007119788936841</v>
      </c>
      <c r="Q65" s="25">
        <f t="shared" si="105"/>
        <v>17.143176747248337</v>
      </c>
      <c r="R65" s="25">
        <f t="shared" si="105"/>
        <v>17.280322161226323</v>
      </c>
      <c r="S65" s="25">
        <f t="shared" si="105"/>
        <v>17.418564738516132</v>
      </c>
      <c r="T65" s="25">
        <f t="shared" si="105"/>
        <v>17.557913256424261</v>
      </c>
      <c r="U65" s="26">
        <f t="shared" si="105"/>
        <v>17.698376562475655</v>
      </c>
    </row>
    <row r="66" spans="1:29">
      <c r="B66" s="88" t="s">
        <v>13</v>
      </c>
      <c r="C66" s="92">
        <v>6540</v>
      </c>
      <c r="D66" s="96">
        <f>SUM(D67:D72)</f>
        <v>7095.9000000000005</v>
      </c>
      <c r="E66" s="90">
        <f t="shared" ref="E66:K66" si="106">SUM(E67:E72)</f>
        <v>6386.31</v>
      </c>
      <c r="F66" s="97">
        <f t="shared" si="106"/>
        <v>6545.9677500000007</v>
      </c>
      <c r="G66" s="97">
        <f t="shared" si="106"/>
        <v>6709.6169437499993</v>
      </c>
      <c r="H66" s="97">
        <f t="shared" si="106"/>
        <v>6877.3573673437495</v>
      </c>
      <c r="I66" s="97">
        <f t="shared" si="106"/>
        <v>7049.2913015273443</v>
      </c>
      <c r="J66" s="97">
        <f t="shared" si="106"/>
        <v>7225.5235840655287</v>
      </c>
      <c r="K66" s="98">
        <f t="shared" si="106"/>
        <v>7406.1616736671658</v>
      </c>
      <c r="L66" s="105"/>
      <c r="M66" s="88" t="s">
        <v>13</v>
      </c>
      <c r="N66" s="106">
        <f t="shared" ref="N66:U66" si="107">SUM(N67:N72)</f>
        <v>7591.3157155088447</v>
      </c>
      <c r="O66" s="97">
        <f t="shared" si="107"/>
        <v>7743.1420298190224</v>
      </c>
      <c r="P66" s="97">
        <f t="shared" si="107"/>
        <v>7898.0048704154015</v>
      </c>
      <c r="Q66" s="97">
        <f t="shared" si="107"/>
        <v>8055.9649678237083</v>
      </c>
      <c r="R66" s="97">
        <f t="shared" si="107"/>
        <v>8217.0842671801838</v>
      </c>
      <c r="S66" s="97">
        <f t="shared" si="107"/>
        <v>8381.4259525237867</v>
      </c>
      <c r="T66" s="97">
        <f t="shared" si="107"/>
        <v>8549.0544715742617</v>
      </c>
      <c r="U66" s="98">
        <f t="shared" si="107"/>
        <v>8720.0355610057468</v>
      </c>
    </row>
    <row r="67" spans="1:29">
      <c r="B67" s="70" t="s">
        <v>28</v>
      </c>
      <c r="C67" s="43">
        <f>C66*X49</f>
        <v>3567.2764631907726</v>
      </c>
      <c r="D67" s="69">
        <f>C67*D43+C67</f>
        <v>3870.4949625619884</v>
      </c>
      <c r="E67" s="22">
        <f t="shared" ref="E67:K67" si="108">D67*E43+D67</f>
        <v>3483.4454663057895</v>
      </c>
      <c r="F67" s="21">
        <f t="shared" si="108"/>
        <v>3570.5316029634341</v>
      </c>
      <c r="G67" s="21">
        <f t="shared" si="108"/>
        <v>3659.7948930375201</v>
      </c>
      <c r="H67" s="21">
        <f t="shared" si="108"/>
        <v>3751.2897653634582</v>
      </c>
      <c r="I67" s="21">
        <f t="shared" si="108"/>
        <v>3845.0720094975445</v>
      </c>
      <c r="J67" s="21">
        <f t="shared" si="108"/>
        <v>3941.1988097349831</v>
      </c>
      <c r="K67" s="23">
        <f t="shared" si="108"/>
        <v>4039.7287799783576</v>
      </c>
      <c r="L67" s="105"/>
      <c r="M67" s="70" t="s">
        <v>28</v>
      </c>
      <c r="N67" s="20">
        <f>K67*N43+K67</f>
        <v>4140.7219994778161</v>
      </c>
      <c r="O67" s="21">
        <f t="shared" ref="O67:U67" si="109">N67*O43+N67</f>
        <v>4223.5364394673725</v>
      </c>
      <c r="P67" s="21">
        <f t="shared" si="109"/>
        <v>4308.0071682567195</v>
      </c>
      <c r="Q67" s="21">
        <f t="shared" si="109"/>
        <v>4394.1673116218535</v>
      </c>
      <c r="R67" s="21">
        <f t="shared" si="109"/>
        <v>4482.0506578542909</v>
      </c>
      <c r="S67" s="21">
        <f t="shared" si="109"/>
        <v>4571.6916710113765</v>
      </c>
      <c r="T67" s="21">
        <f t="shared" si="109"/>
        <v>4663.125504431604</v>
      </c>
      <c r="U67" s="23">
        <f t="shared" si="109"/>
        <v>4756.3880145202356</v>
      </c>
    </row>
    <row r="68" spans="1:29">
      <c r="B68" s="70" t="s">
        <v>29</v>
      </c>
      <c r="C68" s="22">
        <f>C66*Y49</f>
        <v>171.48162701401591</v>
      </c>
      <c r="D68" s="61">
        <f>C68*D43+C68</f>
        <v>186.05756531020728</v>
      </c>
      <c r="E68" s="22">
        <f t="shared" ref="E68:K68" si="110">D68*E43+D68</f>
        <v>167.45180877918656</v>
      </c>
      <c r="F68" s="21">
        <f t="shared" si="110"/>
        <v>171.63810399866622</v>
      </c>
      <c r="G68" s="21">
        <f t="shared" si="110"/>
        <v>175.92905659863288</v>
      </c>
      <c r="H68" s="21">
        <f t="shared" si="110"/>
        <v>180.3272830135987</v>
      </c>
      <c r="I68" s="21">
        <f t="shared" si="110"/>
        <v>184.83546508893866</v>
      </c>
      <c r="J68" s="21">
        <f t="shared" si="110"/>
        <v>189.45635171616212</v>
      </c>
      <c r="K68" s="23">
        <f t="shared" si="110"/>
        <v>194.19276050906618</v>
      </c>
      <c r="L68" s="105"/>
      <c r="M68" s="70" t="s">
        <v>29</v>
      </c>
      <c r="N68" s="20">
        <f>K68*N43+K68</f>
        <v>199.04757952179284</v>
      </c>
      <c r="O68" s="21">
        <f t="shared" ref="O68:U68" si="111">N68*O43+N68</f>
        <v>203.02853111222871</v>
      </c>
      <c r="P68" s="21">
        <f t="shared" si="111"/>
        <v>207.08910173447327</v>
      </c>
      <c r="Q68" s="21">
        <f t="shared" si="111"/>
        <v>211.23088376916274</v>
      </c>
      <c r="R68" s="21">
        <f t="shared" si="111"/>
        <v>215.455501444546</v>
      </c>
      <c r="S68" s="21">
        <f t="shared" si="111"/>
        <v>219.76461147343693</v>
      </c>
      <c r="T68" s="21">
        <f t="shared" si="111"/>
        <v>224.15990370290567</v>
      </c>
      <c r="U68" s="23">
        <f t="shared" si="111"/>
        <v>228.64310177696379</v>
      </c>
    </row>
    <row r="69" spans="1:29">
      <c r="B69" s="70" t="s">
        <v>30</v>
      </c>
      <c r="C69" s="22">
        <f>C66*Z49</f>
        <v>32.519921278380124</v>
      </c>
      <c r="D69" s="61">
        <f>C69*D43+C69</f>
        <v>35.284114587042438</v>
      </c>
      <c r="E69" s="22">
        <f t="shared" ref="E69:K69" si="112">D69*E43+D69</f>
        <v>31.755703128338194</v>
      </c>
      <c r="F69" s="21">
        <f t="shared" si="112"/>
        <v>32.549595706546647</v>
      </c>
      <c r="G69" s="21">
        <f t="shared" si="112"/>
        <v>33.363335599210316</v>
      </c>
      <c r="H69" s="21">
        <f t="shared" si="112"/>
        <v>34.197418989190574</v>
      </c>
      <c r="I69" s="21">
        <f t="shared" si="112"/>
        <v>35.052354463920338</v>
      </c>
      <c r="J69" s="21">
        <f t="shared" si="112"/>
        <v>35.928663325518343</v>
      </c>
      <c r="K69" s="23">
        <f t="shared" si="112"/>
        <v>36.826879908656302</v>
      </c>
      <c r="L69" s="105"/>
      <c r="M69" s="70" t="s">
        <v>30</v>
      </c>
      <c r="N69" s="20">
        <f>K69*N43+K69</f>
        <v>37.747551906372706</v>
      </c>
      <c r="O69" s="21">
        <f t="shared" ref="O69:U69" si="113">N69*O43+N69</f>
        <v>38.502502944500158</v>
      </c>
      <c r="P69" s="21">
        <f t="shared" si="113"/>
        <v>39.272553003390158</v>
      </c>
      <c r="Q69" s="21">
        <f t="shared" si="113"/>
        <v>40.058004063457957</v>
      </c>
      <c r="R69" s="21">
        <f t="shared" si="113"/>
        <v>40.859164144727117</v>
      </c>
      <c r="S69" s="21">
        <f t="shared" si="113"/>
        <v>41.676347427621657</v>
      </c>
      <c r="T69" s="21">
        <f t="shared" si="113"/>
        <v>42.509874376174089</v>
      </c>
      <c r="U69" s="23">
        <f t="shared" si="113"/>
        <v>43.36007186369757</v>
      </c>
    </row>
    <row r="70" spans="1:29">
      <c r="B70" s="70" t="s">
        <v>31</v>
      </c>
      <c r="C70" s="22">
        <f>C66*AA49</f>
        <v>393.31570838147314</v>
      </c>
      <c r="D70" s="61">
        <f>C70*D43+C70</f>
        <v>426.74754359389834</v>
      </c>
      <c r="E70" s="22">
        <f t="shared" ref="E70:K70" si="114">D70*E43+D70</f>
        <v>384.07278923450849</v>
      </c>
      <c r="F70" s="21">
        <f t="shared" si="114"/>
        <v>393.67460896537119</v>
      </c>
      <c r="G70" s="21">
        <f t="shared" si="114"/>
        <v>403.51647418950546</v>
      </c>
      <c r="H70" s="21">
        <f t="shared" si="114"/>
        <v>413.60438604424309</v>
      </c>
      <c r="I70" s="21">
        <f t="shared" si="114"/>
        <v>423.94449569534919</v>
      </c>
      <c r="J70" s="21">
        <f t="shared" si="114"/>
        <v>434.54310808773295</v>
      </c>
      <c r="K70" s="23">
        <f t="shared" si="114"/>
        <v>445.40668578992626</v>
      </c>
      <c r="L70" s="105"/>
      <c r="M70" s="70" t="s">
        <v>31</v>
      </c>
      <c r="N70" s="20">
        <f>K70*N43+K70</f>
        <v>456.54185293467441</v>
      </c>
      <c r="O70" s="21">
        <f t="shared" ref="O70:U70" si="115">N70*O43+N70</f>
        <v>465.6726899933679</v>
      </c>
      <c r="P70" s="21">
        <f t="shared" si="115"/>
        <v>474.98614379323527</v>
      </c>
      <c r="Q70" s="21">
        <f t="shared" si="115"/>
        <v>484.48586666910001</v>
      </c>
      <c r="R70" s="21">
        <f t="shared" si="115"/>
        <v>494.17558400248203</v>
      </c>
      <c r="S70" s="21">
        <f t="shared" si="115"/>
        <v>504.05909568253168</v>
      </c>
      <c r="T70" s="21">
        <f t="shared" si="115"/>
        <v>514.14027759618227</v>
      </c>
      <c r="U70" s="23">
        <f t="shared" si="115"/>
        <v>524.42308314810589</v>
      </c>
    </row>
    <row r="71" spans="1:29">
      <c r="B71" s="70" t="s">
        <v>32</v>
      </c>
      <c r="C71" s="22">
        <f>C66*AB49</f>
        <v>2357.5901850996966</v>
      </c>
      <c r="D71" s="61">
        <f>C71*D43+C71</f>
        <v>2557.9853508331707</v>
      </c>
      <c r="E71" s="22">
        <f t="shared" ref="E71:K71" si="116">D71*E43+D71</f>
        <v>2302.1868157498538</v>
      </c>
      <c r="F71" s="21">
        <f t="shared" si="116"/>
        <v>2359.7414861436</v>
      </c>
      <c r="G71" s="21">
        <f t="shared" si="116"/>
        <v>2418.7350232971899</v>
      </c>
      <c r="H71" s="21">
        <f t="shared" si="116"/>
        <v>2479.2033988796197</v>
      </c>
      <c r="I71" s="21">
        <f t="shared" si="116"/>
        <v>2541.1834838516102</v>
      </c>
      <c r="J71" s="21">
        <f t="shared" si="116"/>
        <v>2604.7130709479006</v>
      </c>
      <c r="K71" s="23">
        <f t="shared" si="116"/>
        <v>2669.8308977215984</v>
      </c>
      <c r="L71" s="105"/>
      <c r="M71" s="70" t="s">
        <v>32</v>
      </c>
      <c r="N71" s="20">
        <f>K71*N43+K71</f>
        <v>2736.5766701646385</v>
      </c>
      <c r="O71" s="21">
        <f t="shared" ref="O71:U71" si="117">N71*O43+N71</f>
        <v>2791.3082035679313</v>
      </c>
      <c r="P71" s="21">
        <f t="shared" si="117"/>
        <v>2847.1343676392898</v>
      </c>
      <c r="Q71" s="21">
        <f t="shared" si="117"/>
        <v>2904.0770549920758</v>
      </c>
      <c r="R71" s="21">
        <f t="shared" si="117"/>
        <v>2962.1585960919174</v>
      </c>
      <c r="S71" s="21">
        <f t="shared" si="117"/>
        <v>3021.4017680137558</v>
      </c>
      <c r="T71" s="21">
        <f t="shared" si="117"/>
        <v>3081.8298033740311</v>
      </c>
      <c r="U71" s="23">
        <f t="shared" si="117"/>
        <v>3143.4663994415118</v>
      </c>
    </row>
    <row r="72" spans="1:29" ht="15.75" thickBot="1">
      <c r="B72" s="71" t="s">
        <v>33</v>
      </c>
      <c r="C72" s="24">
        <f>C66*AC49</f>
        <v>17.816095035661832</v>
      </c>
      <c r="D72" s="52">
        <f>C72*D43+C72</f>
        <v>19.330463113693089</v>
      </c>
      <c r="E72" s="24">
        <f t="shared" ref="E72:K72" si="118">D72*E43+D72</f>
        <v>17.397416802323779</v>
      </c>
      <c r="F72" s="25">
        <f t="shared" si="118"/>
        <v>17.832352222381875</v>
      </c>
      <c r="G72" s="25">
        <f t="shared" si="118"/>
        <v>18.278161027941422</v>
      </c>
      <c r="H72" s="25">
        <f t="shared" si="118"/>
        <v>18.735115053639959</v>
      </c>
      <c r="I72" s="25">
        <f t="shared" si="118"/>
        <v>19.203492929980957</v>
      </c>
      <c r="J72" s="25">
        <f t="shared" si="118"/>
        <v>19.683580253230481</v>
      </c>
      <c r="K72" s="26">
        <f t="shared" si="118"/>
        <v>20.175669759561242</v>
      </c>
      <c r="L72" s="105"/>
      <c r="M72" s="71" t="s">
        <v>33</v>
      </c>
      <c r="N72" s="30">
        <f>K72*N43+K72</f>
        <v>20.680061503550274</v>
      </c>
      <c r="O72" s="25">
        <f t="shared" ref="O72:U72" si="119">N72*O43+N72</f>
        <v>21.093662733621279</v>
      </c>
      <c r="P72" s="25">
        <f t="shared" si="119"/>
        <v>21.515535988293706</v>
      </c>
      <c r="Q72" s="25">
        <f t="shared" si="119"/>
        <v>21.94584670805958</v>
      </c>
      <c r="R72" s="25">
        <f t="shared" si="119"/>
        <v>22.384763642220772</v>
      </c>
      <c r="S72" s="25">
        <f t="shared" si="119"/>
        <v>22.832458915065189</v>
      </c>
      <c r="T72" s="25">
        <f t="shared" si="119"/>
        <v>23.289108093366494</v>
      </c>
      <c r="U72" s="26">
        <f t="shared" si="119"/>
        <v>23.754890255233825</v>
      </c>
    </row>
    <row r="73" spans="1:29">
      <c r="L73" s="105"/>
    </row>
    <row r="75" spans="1:29" ht="18.75">
      <c r="B75" s="637" t="s">
        <v>23</v>
      </c>
      <c r="C75" s="637"/>
      <c r="D75" s="637"/>
      <c r="E75" s="637"/>
      <c r="F75" s="637"/>
      <c r="G75" s="637"/>
      <c r="H75" s="637"/>
      <c r="I75" s="637"/>
      <c r="J75" s="637"/>
      <c r="K75" s="637"/>
      <c r="L75" s="637"/>
      <c r="M75" s="637"/>
      <c r="N75" s="637"/>
      <c r="O75" s="637"/>
      <c r="P75" s="637"/>
      <c r="Q75" s="637"/>
      <c r="R75" s="637"/>
      <c r="S75" s="637"/>
      <c r="T75" s="637"/>
      <c r="U75" s="41"/>
    </row>
    <row r="76" spans="1:29" ht="9.9499999999999993" customHeight="1" thickBot="1">
      <c r="L76" s="105"/>
      <c r="U76" s="41"/>
    </row>
    <row r="77" spans="1:29" s="37" customFormat="1" ht="15.75" thickBot="1">
      <c r="A77" s="5"/>
      <c r="B77" s="110" t="s">
        <v>19</v>
      </c>
      <c r="C77" s="64">
        <v>2022</v>
      </c>
      <c r="D77" s="27">
        <v>2023</v>
      </c>
      <c r="E77" s="29">
        <v>2024</v>
      </c>
      <c r="F77" s="28">
        <v>2025</v>
      </c>
      <c r="G77" s="28">
        <v>2026</v>
      </c>
      <c r="H77" s="28">
        <v>2027</v>
      </c>
      <c r="I77" s="28">
        <v>2028</v>
      </c>
      <c r="J77" s="28">
        <v>2029</v>
      </c>
      <c r="K77" s="27">
        <v>2030</v>
      </c>
      <c r="L77" s="105"/>
      <c r="M77" s="111" t="s">
        <v>19</v>
      </c>
      <c r="N77" s="29">
        <v>2031</v>
      </c>
      <c r="O77" s="28">
        <v>2032</v>
      </c>
      <c r="P77" s="28">
        <v>2033</v>
      </c>
      <c r="Q77" s="28">
        <v>2034</v>
      </c>
      <c r="R77" s="28">
        <v>2035</v>
      </c>
      <c r="S77" s="28">
        <v>2036</v>
      </c>
      <c r="T77" s="28">
        <v>2037</v>
      </c>
      <c r="U77" s="27">
        <v>2038</v>
      </c>
      <c r="V77" s="41"/>
      <c r="W77" s="41"/>
      <c r="X77" s="41"/>
      <c r="Y77" s="41"/>
      <c r="Z77" s="41"/>
      <c r="AA77" s="41"/>
      <c r="AB77" s="41"/>
      <c r="AC77" s="41"/>
    </row>
    <row r="78" spans="1:29" s="37" customFormat="1">
      <c r="A78" s="137"/>
      <c r="B78" s="109"/>
      <c r="C78" s="56" t="s">
        <v>25</v>
      </c>
      <c r="D78" s="57"/>
      <c r="E78" s="58">
        <v>1</v>
      </c>
      <c r="F78" s="59">
        <v>2</v>
      </c>
      <c r="G78" s="59">
        <v>3</v>
      </c>
      <c r="H78" s="59">
        <v>4</v>
      </c>
      <c r="I78" s="59">
        <v>5</v>
      </c>
      <c r="J78" s="59">
        <v>6</v>
      </c>
      <c r="K78" s="57">
        <v>7</v>
      </c>
      <c r="L78" s="105"/>
      <c r="M78" s="70"/>
      <c r="N78" s="58">
        <v>8</v>
      </c>
      <c r="O78" s="59">
        <v>9</v>
      </c>
      <c r="P78" s="59">
        <v>10</v>
      </c>
      <c r="Q78" s="59">
        <v>11</v>
      </c>
      <c r="R78" s="59">
        <v>12</v>
      </c>
      <c r="S78" s="59">
        <v>13</v>
      </c>
      <c r="T78" s="59">
        <v>14</v>
      </c>
      <c r="U78" s="57">
        <v>15</v>
      </c>
      <c r="V78" s="41"/>
      <c r="W78" s="41"/>
      <c r="X78" s="41"/>
      <c r="Y78" s="41"/>
      <c r="Z78" s="41"/>
      <c r="AA78" s="41"/>
      <c r="AB78" s="41"/>
      <c r="AC78" s="41"/>
    </row>
    <row r="79" spans="1:29" s="37" customFormat="1" ht="15.75" thickBot="1">
      <c r="A79" s="138"/>
      <c r="B79" s="48" t="s">
        <v>20</v>
      </c>
      <c r="C79" s="46"/>
      <c r="D79" s="51">
        <v>8.5000000000000006E-2</v>
      </c>
      <c r="E79" s="53">
        <v>-0.1</v>
      </c>
      <c r="F79" s="31">
        <v>6.5000000000000002E-2</v>
      </c>
      <c r="G79" s="31">
        <f>F79</f>
        <v>6.5000000000000002E-2</v>
      </c>
      <c r="H79" s="31">
        <f t="shared" ref="H79:K80" si="120">G79</f>
        <v>6.5000000000000002E-2</v>
      </c>
      <c r="I79" s="31">
        <f t="shared" si="120"/>
        <v>6.5000000000000002E-2</v>
      </c>
      <c r="J79" s="31">
        <f t="shared" si="120"/>
        <v>6.5000000000000002E-2</v>
      </c>
      <c r="K79" s="32">
        <f t="shared" si="120"/>
        <v>6.5000000000000002E-2</v>
      </c>
      <c r="L79" s="105"/>
      <c r="M79" s="38" t="s">
        <v>20</v>
      </c>
      <c r="N79" s="124">
        <f>K79</f>
        <v>6.5000000000000002E-2</v>
      </c>
      <c r="O79" s="121">
        <v>0.05</v>
      </c>
      <c r="P79" s="121">
        <f t="shared" ref="P79:U80" si="121">O79</f>
        <v>0.05</v>
      </c>
      <c r="Q79" s="121">
        <f t="shared" si="121"/>
        <v>0.05</v>
      </c>
      <c r="R79" s="121">
        <f t="shared" si="121"/>
        <v>0.05</v>
      </c>
      <c r="S79" s="121">
        <f t="shared" si="121"/>
        <v>0.05</v>
      </c>
      <c r="T79" s="121">
        <f t="shared" si="121"/>
        <v>0.05</v>
      </c>
      <c r="U79" s="122">
        <f t="shared" si="121"/>
        <v>0.05</v>
      </c>
      <c r="V79" s="41"/>
      <c r="W79" s="41"/>
      <c r="X79" s="41"/>
      <c r="Y79" s="41"/>
      <c r="Z79" s="41"/>
      <c r="AA79" s="41"/>
      <c r="AB79" s="41"/>
      <c r="AC79" s="41"/>
    </row>
    <row r="80" spans="1:29" s="37" customFormat="1" ht="15.75" thickBot="1">
      <c r="A80" s="138"/>
      <c r="B80" s="74" t="s">
        <v>27</v>
      </c>
      <c r="C80" s="62"/>
      <c r="D80" s="75">
        <v>0.03</v>
      </c>
      <c r="E80" s="63">
        <v>-2.5000000000000001E-2</v>
      </c>
      <c r="F80" s="54">
        <v>0.03</v>
      </c>
      <c r="G80" s="54">
        <f>F80</f>
        <v>0.03</v>
      </c>
      <c r="H80" s="54">
        <f t="shared" si="120"/>
        <v>0.03</v>
      </c>
      <c r="I80" s="54">
        <f t="shared" si="120"/>
        <v>0.03</v>
      </c>
      <c r="J80" s="54">
        <f t="shared" si="120"/>
        <v>0.03</v>
      </c>
      <c r="K80" s="55">
        <f t="shared" si="120"/>
        <v>0.03</v>
      </c>
      <c r="L80" s="105"/>
      <c r="M80" s="125" t="s">
        <v>27</v>
      </c>
      <c r="N80" s="132">
        <f>K80</f>
        <v>0.03</v>
      </c>
      <c r="O80" s="126">
        <v>2.5000000000000001E-2</v>
      </c>
      <c r="P80" s="126">
        <f t="shared" si="121"/>
        <v>2.5000000000000001E-2</v>
      </c>
      <c r="Q80" s="126">
        <f t="shared" si="121"/>
        <v>2.5000000000000001E-2</v>
      </c>
      <c r="R80" s="126">
        <f t="shared" si="121"/>
        <v>2.5000000000000001E-2</v>
      </c>
      <c r="S80" s="126">
        <f t="shared" si="121"/>
        <v>2.5000000000000001E-2</v>
      </c>
      <c r="T80" s="126">
        <f t="shared" si="121"/>
        <v>2.5000000000000001E-2</v>
      </c>
      <c r="U80" s="127">
        <f t="shared" si="121"/>
        <v>2.5000000000000001E-2</v>
      </c>
      <c r="V80" s="41"/>
      <c r="W80" s="41"/>
      <c r="X80" s="41"/>
      <c r="Y80" s="41"/>
      <c r="Z80" s="41"/>
      <c r="AA80" s="41"/>
      <c r="AB80" s="41"/>
      <c r="AC80" s="41"/>
    </row>
    <row r="81" spans="2:33">
      <c r="B81" s="60" t="s">
        <v>16</v>
      </c>
      <c r="C81" s="92">
        <v>15906</v>
      </c>
      <c r="D81" s="94">
        <f>SUM(D82:D87)</f>
        <v>17008.65387336351</v>
      </c>
      <c r="E81" s="95">
        <f t="shared" ref="E81:K81" si="122">SUM(E82:E87)</f>
        <v>15658.0205002575</v>
      </c>
      <c r="F81" s="93">
        <f t="shared" si="122"/>
        <v>16516.436266299432</v>
      </c>
      <c r="G81" s="93">
        <f t="shared" si="122"/>
        <v>17425.868390139844</v>
      </c>
      <c r="H81" s="93">
        <f t="shared" si="122"/>
        <v>18389.489515025813</v>
      </c>
      <c r="I81" s="93">
        <f t="shared" si="122"/>
        <v>19410.674203415183</v>
      </c>
      <c r="J81" s="93">
        <f t="shared" si="122"/>
        <v>20493.01193264723</v>
      </c>
      <c r="K81" s="94">
        <f t="shared" si="122"/>
        <v>21640.320931459668</v>
      </c>
      <c r="L81" s="105"/>
      <c r="M81" s="88" t="s">
        <v>16</v>
      </c>
      <c r="N81" s="95">
        <f t="shared" ref="N81:U81" si="123">SUM(N82:N87)</f>
        <v>22856.662911890628</v>
      </c>
      <c r="O81" s="93">
        <f t="shared" si="123"/>
        <v>23859.505167115629</v>
      </c>
      <c r="P81" s="93">
        <f t="shared" si="123"/>
        <v>24908.989762842648</v>
      </c>
      <c r="Q81" s="93">
        <f t="shared" si="123"/>
        <v>26007.361321790297</v>
      </c>
      <c r="R81" s="93">
        <f t="shared" si="123"/>
        <v>27156.97451045546</v>
      </c>
      <c r="S81" s="93">
        <f t="shared" si="123"/>
        <v>28360.299486618282</v>
      </c>
      <c r="T81" s="93">
        <f t="shared" si="123"/>
        <v>29619.927617855239</v>
      </c>
      <c r="U81" s="94">
        <f t="shared" si="123"/>
        <v>30938.577484576697</v>
      </c>
    </row>
    <row r="82" spans="2:33" ht="15.75" customHeight="1">
      <c r="B82" s="76" t="s">
        <v>28</v>
      </c>
      <c r="C82" s="22">
        <f>C81*Z87</f>
        <v>11372.252242972931</v>
      </c>
      <c r="D82" s="23">
        <f t="shared" ref="D82:K82" si="124">(C82*D79)+C82</f>
        <v>12338.893683625629</v>
      </c>
      <c r="E82" s="20">
        <f t="shared" si="124"/>
        <v>11105.004315263066</v>
      </c>
      <c r="F82" s="21">
        <f t="shared" si="124"/>
        <v>11826.829595755165</v>
      </c>
      <c r="G82" s="21">
        <f t="shared" si="124"/>
        <v>12595.573519479251</v>
      </c>
      <c r="H82" s="21">
        <f t="shared" si="124"/>
        <v>13414.285798245402</v>
      </c>
      <c r="I82" s="21">
        <f t="shared" si="124"/>
        <v>14286.214375131354</v>
      </c>
      <c r="J82" s="21">
        <f t="shared" si="124"/>
        <v>15214.818309514892</v>
      </c>
      <c r="K82" s="23">
        <f t="shared" si="124"/>
        <v>16203.78149963336</v>
      </c>
      <c r="L82" s="105"/>
      <c r="M82" s="101" t="s">
        <v>28</v>
      </c>
      <c r="N82" s="20">
        <f>(K82*N79)+K82</f>
        <v>17257.027297109529</v>
      </c>
      <c r="O82" s="21">
        <f t="shared" ref="O82:U83" si="125">(N82*O79)+N82</f>
        <v>18119.878661965005</v>
      </c>
      <c r="P82" s="21">
        <f t="shared" si="125"/>
        <v>19025.872595063254</v>
      </c>
      <c r="Q82" s="21">
        <f t="shared" si="125"/>
        <v>19977.166224816418</v>
      </c>
      <c r="R82" s="21">
        <f t="shared" si="125"/>
        <v>20976.024536057237</v>
      </c>
      <c r="S82" s="21">
        <f t="shared" si="125"/>
        <v>22024.825762860099</v>
      </c>
      <c r="T82" s="21">
        <f t="shared" si="125"/>
        <v>23126.067051003105</v>
      </c>
      <c r="U82" s="23">
        <f t="shared" si="125"/>
        <v>24282.370403553261</v>
      </c>
    </row>
    <row r="83" spans="2:33" ht="15.75" customHeight="1">
      <c r="B83" s="76" t="s">
        <v>29</v>
      </c>
      <c r="C83" s="22">
        <f>C81*$Y$15</f>
        <v>406.48551904742135</v>
      </c>
      <c r="D83" s="23">
        <f>(C83*D80)+C83</f>
        <v>418.68008461884398</v>
      </c>
      <c r="E83" s="20">
        <f t="shared" ref="E83:K83" si="126">(D83*E80)+D83</f>
        <v>408.2130825033729</v>
      </c>
      <c r="F83" s="21">
        <f t="shared" si="126"/>
        <v>420.45947497847408</v>
      </c>
      <c r="G83" s="21">
        <f t="shared" si="126"/>
        <v>433.07325922782832</v>
      </c>
      <c r="H83" s="21">
        <f t="shared" si="126"/>
        <v>446.06545700466319</v>
      </c>
      <c r="I83" s="21">
        <f t="shared" si="126"/>
        <v>459.44742071480306</v>
      </c>
      <c r="J83" s="21">
        <f t="shared" si="126"/>
        <v>473.23084333624718</v>
      </c>
      <c r="K83" s="23">
        <f t="shared" si="126"/>
        <v>487.42776863633458</v>
      </c>
      <c r="L83" s="105"/>
      <c r="M83" s="101" t="s">
        <v>29</v>
      </c>
      <c r="N83" s="20">
        <f>(K83*N80)+K83</f>
        <v>502.05060169542463</v>
      </c>
      <c r="O83" s="21">
        <f t="shared" si="125"/>
        <v>514.60186673781027</v>
      </c>
      <c r="P83" s="21">
        <f t="shared" si="125"/>
        <v>527.46691340625557</v>
      </c>
      <c r="Q83" s="21">
        <f t="shared" si="125"/>
        <v>540.65358624141197</v>
      </c>
      <c r="R83" s="21">
        <f t="shared" si="125"/>
        <v>554.16992589744723</v>
      </c>
      <c r="S83" s="21">
        <f t="shared" si="125"/>
        <v>568.02417404488347</v>
      </c>
      <c r="T83" s="21">
        <f t="shared" si="125"/>
        <v>582.2247783960056</v>
      </c>
      <c r="U83" s="23">
        <f t="shared" si="125"/>
        <v>596.78039785590579</v>
      </c>
      <c r="Y83" s="78" t="s">
        <v>34</v>
      </c>
      <c r="Z83" s="79" t="s">
        <v>35</v>
      </c>
      <c r="AA83" s="79" t="s">
        <v>36</v>
      </c>
      <c r="AB83" s="79" t="s">
        <v>37</v>
      </c>
      <c r="AC83" s="79" t="s">
        <v>38</v>
      </c>
      <c r="AD83" s="79" t="s">
        <v>39</v>
      </c>
      <c r="AE83" s="79" t="s">
        <v>40</v>
      </c>
      <c r="AF83" s="79" t="s">
        <v>45</v>
      </c>
      <c r="AG83" s="79" t="s">
        <v>46</v>
      </c>
    </row>
    <row r="84" spans="2:33" ht="15.75" customHeight="1">
      <c r="B84" s="76" t="s">
        <v>30</v>
      </c>
      <c r="C84" s="22">
        <f>C81*$Z$15</f>
        <v>102.67752431663583</v>
      </c>
      <c r="D84" s="23">
        <f>(C84*D80)+C84</f>
        <v>105.75785004613491</v>
      </c>
      <c r="E84" s="20">
        <f t="shared" ref="E84:K84" si="127">(D84*E80)+D84</f>
        <v>103.11390379498154</v>
      </c>
      <c r="F84" s="21">
        <f t="shared" si="127"/>
        <v>106.20732090883098</v>
      </c>
      <c r="G84" s="21">
        <f t="shared" si="127"/>
        <v>109.39354053609591</v>
      </c>
      <c r="H84" s="21">
        <f t="shared" si="127"/>
        <v>112.6753467521788</v>
      </c>
      <c r="I84" s="21">
        <f t="shared" si="127"/>
        <v>116.05560715474417</v>
      </c>
      <c r="J84" s="21">
        <f t="shared" si="127"/>
        <v>119.53727536938649</v>
      </c>
      <c r="K84" s="23">
        <f t="shared" si="127"/>
        <v>123.12339363046809</v>
      </c>
      <c r="L84" s="105"/>
      <c r="M84" s="101" t="s">
        <v>30</v>
      </c>
      <c r="N84" s="20">
        <f>(K84*N80)+K84</f>
        <v>126.81709543938213</v>
      </c>
      <c r="O84" s="21">
        <f t="shared" ref="O84:U84" si="128">(N84*O80)+N84</f>
        <v>129.98752282536668</v>
      </c>
      <c r="P84" s="21">
        <f t="shared" si="128"/>
        <v>133.23721089600085</v>
      </c>
      <c r="Q84" s="21">
        <f t="shared" si="128"/>
        <v>136.56814116840087</v>
      </c>
      <c r="R84" s="21">
        <f t="shared" si="128"/>
        <v>139.9823446976109</v>
      </c>
      <c r="S84" s="21">
        <f t="shared" si="128"/>
        <v>143.48190331505117</v>
      </c>
      <c r="T84" s="21">
        <f t="shared" si="128"/>
        <v>147.06895089792744</v>
      </c>
      <c r="U84" s="23">
        <f t="shared" si="128"/>
        <v>150.74567467037562</v>
      </c>
      <c r="Y84" s="80" t="s">
        <v>41</v>
      </c>
      <c r="Z84" s="72">
        <v>0.68464013186883643</v>
      </c>
      <c r="AA84" s="72">
        <v>3.0316391288490917E-2</v>
      </c>
      <c r="AB84" s="72">
        <v>5.9112646681444359E-3</v>
      </c>
      <c r="AC84" s="72">
        <v>4.8967159609488727E-2</v>
      </c>
      <c r="AD84" s="72">
        <v>0.22843880131407679</v>
      </c>
      <c r="AE84" s="72">
        <v>1.7262512509627387E-3</v>
      </c>
      <c r="AF84" s="72">
        <v>0</v>
      </c>
      <c r="AG84" s="81">
        <v>1</v>
      </c>
    </row>
    <row r="85" spans="2:33" ht="15.75" customHeight="1">
      <c r="B85" s="76" t="s">
        <v>31</v>
      </c>
      <c r="C85" s="22">
        <f>C81*$AA$15</f>
        <v>690.6418279378945</v>
      </c>
      <c r="D85" s="23">
        <f>(C85*D80)+C85</f>
        <v>711.36108277603137</v>
      </c>
      <c r="E85" s="20">
        <f t="shared" ref="E85:K85" si="129">(D85*E80)+D85</f>
        <v>693.57705570663063</v>
      </c>
      <c r="F85" s="21">
        <f t="shared" si="129"/>
        <v>714.38436737782956</v>
      </c>
      <c r="G85" s="21">
        <f t="shared" si="129"/>
        <v>735.81589839916444</v>
      </c>
      <c r="H85" s="21">
        <f t="shared" si="129"/>
        <v>757.89037535113937</v>
      </c>
      <c r="I85" s="21">
        <f t="shared" si="129"/>
        <v>780.62708661167358</v>
      </c>
      <c r="J85" s="21">
        <f t="shared" si="129"/>
        <v>804.04589921002378</v>
      </c>
      <c r="K85" s="23">
        <f t="shared" si="129"/>
        <v>828.16727618632444</v>
      </c>
      <c r="L85" s="105"/>
      <c r="M85" s="101" t="s">
        <v>31</v>
      </c>
      <c r="N85" s="20">
        <f>(K85*N80)+K85</f>
        <v>853.01229447191417</v>
      </c>
      <c r="O85" s="21">
        <f t="shared" ref="O85:U85" si="130">(N85*O80)+N85</f>
        <v>874.33760183371203</v>
      </c>
      <c r="P85" s="21">
        <f t="shared" si="130"/>
        <v>896.19604187955485</v>
      </c>
      <c r="Q85" s="21">
        <f t="shared" si="130"/>
        <v>918.60094292654378</v>
      </c>
      <c r="R85" s="21">
        <f t="shared" si="130"/>
        <v>941.56596649970743</v>
      </c>
      <c r="S85" s="21">
        <f t="shared" si="130"/>
        <v>965.10511566220009</v>
      </c>
      <c r="T85" s="21">
        <f t="shared" si="130"/>
        <v>989.23274355375509</v>
      </c>
      <c r="U85" s="23">
        <f t="shared" si="130"/>
        <v>1013.963562142599</v>
      </c>
      <c r="Y85" s="80" t="s">
        <v>42</v>
      </c>
      <c r="Z85" s="72">
        <v>0.54545511669583679</v>
      </c>
      <c r="AA85" s="72">
        <v>2.6220432265140047E-2</v>
      </c>
      <c r="AB85" s="72">
        <v>4.9724650272752486E-3</v>
      </c>
      <c r="AC85" s="72">
        <v>6.0140016572090692E-2</v>
      </c>
      <c r="AD85" s="72">
        <v>0.36048779588680374</v>
      </c>
      <c r="AE85" s="72">
        <v>2.7241735528534912E-3</v>
      </c>
      <c r="AF85" s="72">
        <v>0</v>
      </c>
      <c r="AG85" s="82">
        <v>0.99999999999999989</v>
      </c>
    </row>
    <row r="86" spans="2:33" ht="15.75" customHeight="1">
      <c r="B86" s="76" t="s">
        <v>32</v>
      </c>
      <c r="C86" s="22">
        <f>C81*$AB$15</f>
        <v>3308.9378757342447</v>
      </c>
      <c r="D86" s="23">
        <f>(C86*D80)+C86</f>
        <v>3408.206012006272</v>
      </c>
      <c r="E86" s="20">
        <f t="shared" ref="E86:K86" si="131">(D86*E80)+D86</f>
        <v>3323.0008617061153</v>
      </c>
      <c r="F86" s="21">
        <f t="shared" si="131"/>
        <v>3422.6908875572985</v>
      </c>
      <c r="G86" s="21">
        <f t="shared" si="131"/>
        <v>3525.3716141840173</v>
      </c>
      <c r="H86" s="21">
        <f t="shared" si="131"/>
        <v>3631.1327626095376</v>
      </c>
      <c r="I86" s="21">
        <f t="shared" si="131"/>
        <v>3740.0667454878239</v>
      </c>
      <c r="J86" s="21">
        <f t="shared" si="131"/>
        <v>3852.2687478524585</v>
      </c>
      <c r="K86" s="23">
        <f t="shared" si="131"/>
        <v>3967.8368102880322</v>
      </c>
      <c r="L86" s="105"/>
      <c r="M86" s="101" t="s">
        <v>32</v>
      </c>
      <c r="N86" s="20">
        <f>(K86*N80)+K86</f>
        <v>4086.8719145966734</v>
      </c>
      <c r="O86" s="21">
        <f t="shared" ref="O86:U86" si="132">(N86*O80)+N86</f>
        <v>4189.0437124615901</v>
      </c>
      <c r="P86" s="21">
        <f t="shared" si="132"/>
        <v>4293.7698052731303</v>
      </c>
      <c r="Q86" s="21">
        <f t="shared" si="132"/>
        <v>4401.1140504049581</v>
      </c>
      <c r="R86" s="21">
        <f t="shared" si="132"/>
        <v>4511.1419016650816</v>
      </c>
      <c r="S86" s="21">
        <f t="shared" si="132"/>
        <v>4623.9204492067083</v>
      </c>
      <c r="T86" s="21">
        <f t="shared" si="132"/>
        <v>4739.518460436876</v>
      </c>
      <c r="U86" s="23">
        <f t="shared" si="132"/>
        <v>4858.0064219477981</v>
      </c>
      <c r="Y86" s="80" t="s">
        <v>43</v>
      </c>
      <c r="Z86" s="72">
        <v>0.61923943392940406</v>
      </c>
      <c r="AA86" s="72">
        <v>3.4667329591739279E-2</v>
      </c>
      <c r="AB86" s="72">
        <v>1.165989696571329E-2</v>
      </c>
      <c r="AC86" s="72">
        <v>5.286799364041371E-2</v>
      </c>
      <c r="AD86" s="72">
        <v>0.27945353625582164</v>
      </c>
      <c r="AE86" s="72">
        <v>2.1118096169079601E-3</v>
      </c>
      <c r="AF86" s="72">
        <v>0</v>
      </c>
      <c r="AG86" s="81">
        <v>1</v>
      </c>
    </row>
    <row r="87" spans="2:33" ht="15.75" customHeight="1" thickBot="1">
      <c r="B87" s="77" t="s">
        <v>33</v>
      </c>
      <c r="C87" s="24">
        <f>C81*$AC$15</f>
        <v>25.005009990872921</v>
      </c>
      <c r="D87" s="26">
        <f>(C87*D80)+C87</f>
        <v>25.755160290599107</v>
      </c>
      <c r="E87" s="30">
        <f t="shared" ref="E87:K87" si="133">(D87*E80)+D87</f>
        <v>25.111281283334129</v>
      </c>
      <c r="F87" s="25">
        <f t="shared" si="133"/>
        <v>25.864619721834153</v>
      </c>
      <c r="G87" s="25">
        <f t="shared" si="133"/>
        <v>26.640558313489176</v>
      </c>
      <c r="H87" s="25">
        <f t="shared" si="133"/>
        <v>27.439775062893851</v>
      </c>
      <c r="I87" s="25">
        <f t="shared" si="133"/>
        <v>28.262968314780668</v>
      </c>
      <c r="J87" s="25">
        <f t="shared" si="133"/>
        <v>29.110857364224088</v>
      </c>
      <c r="K87" s="26">
        <f t="shared" si="133"/>
        <v>29.984183085150811</v>
      </c>
      <c r="L87" s="105"/>
      <c r="M87" s="102" t="s">
        <v>33</v>
      </c>
      <c r="N87" s="30">
        <f>(K87*N80)+K87</f>
        <v>30.883708577705335</v>
      </c>
      <c r="O87" s="25">
        <f t="shared" ref="O87:U87" si="134">(N87*O80)+N87</f>
        <v>31.655801292147967</v>
      </c>
      <c r="P87" s="25">
        <f t="shared" si="134"/>
        <v>32.447196324451667</v>
      </c>
      <c r="Q87" s="25">
        <f t="shared" si="134"/>
        <v>33.258376232562959</v>
      </c>
      <c r="R87" s="25">
        <f t="shared" si="134"/>
        <v>34.089835638377032</v>
      </c>
      <c r="S87" s="25">
        <f t="shared" si="134"/>
        <v>34.942081529336456</v>
      </c>
      <c r="T87" s="25">
        <f t="shared" si="134"/>
        <v>35.815633567569868</v>
      </c>
      <c r="U87" s="26">
        <f t="shared" si="134"/>
        <v>36.711024406759115</v>
      </c>
      <c r="Y87" s="80" t="s">
        <v>44</v>
      </c>
      <c r="Z87" s="73">
        <v>0.71496619156123042</v>
      </c>
      <c r="AA87" s="73">
        <v>2.5555483405470977E-2</v>
      </c>
      <c r="AB87" s="73">
        <v>6.4552699809276894E-3</v>
      </c>
      <c r="AC87" s="73">
        <v>4.3420207967929995E-2</v>
      </c>
      <c r="AD87" s="73">
        <v>0.20803079817265463</v>
      </c>
      <c r="AE87" s="73">
        <v>1.572048911786302E-3</v>
      </c>
      <c r="AF87" s="73">
        <v>0</v>
      </c>
      <c r="AG87" s="83">
        <v>1</v>
      </c>
    </row>
    <row r="88" spans="2:33">
      <c r="B88" s="89" t="s">
        <v>12</v>
      </c>
      <c r="C88" s="92">
        <v>9743</v>
      </c>
      <c r="D88" s="94">
        <f>SUM(D89:D94)</f>
        <v>10402.164684263893</v>
      </c>
      <c r="E88" s="95">
        <f t="shared" ref="E88:K88" si="135">SUM(E89:E94)</f>
        <v>9599.3027956668539</v>
      </c>
      <c r="F88" s="93">
        <f t="shared" si="135"/>
        <v>10115.261143562844</v>
      </c>
      <c r="G88" s="93">
        <f t="shared" si="135"/>
        <v>10661.516894057406</v>
      </c>
      <c r="H88" s="93">
        <f t="shared" si="135"/>
        <v>11239.942181619001</v>
      </c>
      <c r="I88" s="93">
        <f t="shared" si="135"/>
        <v>11852.527913555537</v>
      </c>
      <c r="J88" s="93">
        <f t="shared" si="135"/>
        <v>12501.391402771887</v>
      </c>
      <c r="K88" s="94">
        <f t="shared" si="135"/>
        <v>13188.784494032356</v>
      </c>
      <c r="L88" s="105"/>
      <c r="M88" s="112" t="s">
        <v>12</v>
      </c>
      <c r="N88" s="95">
        <f t="shared" ref="N88:U88" si="136">SUM(N89:N94)</f>
        <v>13917.102215727165</v>
      </c>
      <c r="O88" s="93">
        <f t="shared" si="136"/>
        <v>14518.084563277946</v>
      </c>
      <c r="P88" s="93">
        <f t="shared" si="136"/>
        <v>15146.744209125371</v>
      </c>
      <c r="Q88" s="93">
        <f t="shared" si="136"/>
        <v>15804.405722707261</v>
      </c>
      <c r="R88" s="93">
        <f t="shared" si="136"/>
        <v>16492.458419546383</v>
      </c>
      <c r="S88" s="93">
        <f t="shared" si="136"/>
        <v>17212.359561495054</v>
      </c>
      <c r="T88" s="93">
        <f t="shared" si="136"/>
        <v>17965.637716065441</v>
      </c>
      <c r="U88" s="94">
        <f t="shared" si="136"/>
        <v>18753.896282776739</v>
      </c>
    </row>
    <row r="89" spans="2:33">
      <c r="B89" s="76" t="s">
        <v>28</v>
      </c>
      <c r="C89" s="22">
        <f>C88*Z84</f>
        <v>6670.4488047980731</v>
      </c>
      <c r="D89" s="23">
        <f>(D79*C89)+C89</f>
        <v>7237.436953205909</v>
      </c>
      <c r="E89" s="20">
        <f t="shared" ref="E89:K89" si="137">(E79*D89)+D89</f>
        <v>6513.6932578853184</v>
      </c>
      <c r="F89" s="21">
        <f t="shared" si="137"/>
        <v>6937.0833196478643</v>
      </c>
      <c r="G89" s="21">
        <f t="shared" si="137"/>
        <v>7387.993735424976</v>
      </c>
      <c r="H89" s="21">
        <f t="shared" si="137"/>
        <v>7868.213328227599</v>
      </c>
      <c r="I89" s="21">
        <f t="shared" si="137"/>
        <v>8379.6471945623925</v>
      </c>
      <c r="J89" s="21">
        <f t="shared" si="137"/>
        <v>8924.3242622089474</v>
      </c>
      <c r="K89" s="23">
        <f t="shared" si="137"/>
        <v>9504.4053392525293</v>
      </c>
      <c r="L89" s="105"/>
      <c r="M89" s="101" t="s">
        <v>28</v>
      </c>
      <c r="N89" s="20">
        <f>(N79*K89)+K89</f>
        <v>10122.191686303944</v>
      </c>
      <c r="O89" s="21">
        <f t="shared" ref="O89:U89" si="138">(O79*N89)+N89</f>
        <v>10628.301270619142</v>
      </c>
      <c r="P89" s="21">
        <f t="shared" si="138"/>
        <v>11159.7163341501</v>
      </c>
      <c r="Q89" s="21">
        <f t="shared" si="138"/>
        <v>11717.702150857605</v>
      </c>
      <c r="R89" s="21">
        <f t="shared" si="138"/>
        <v>12303.587258400486</v>
      </c>
      <c r="S89" s="21">
        <f t="shared" si="138"/>
        <v>12918.76662132051</v>
      </c>
      <c r="T89" s="21">
        <f t="shared" si="138"/>
        <v>13564.704952386535</v>
      </c>
      <c r="U89" s="23">
        <f t="shared" si="138"/>
        <v>14242.940200005862</v>
      </c>
    </row>
    <row r="90" spans="2:33">
      <c r="B90" s="76" t="s">
        <v>29</v>
      </c>
      <c r="C90" s="22">
        <f>C88*AA84</f>
        <v>295.37260032376702</v>
      </c>
      <c r="D90" s="23">
        <f>(C90*D80)+C90</f>
        <v>304.23377833348002</v>
      </c>
      <c r="E90" s="20">
        <f t="shared" ref="E90:K90" si="139">(D90*E80)+D90</f>
        <v>296.62793387514301</v>
      </c>
      <c r="F90" s="21">
        <f t="shared" si="139"/>
        <v>305.52677189139729</v>
      </c>
      <c r="G90" s="21">
        <f t="shared" si="139"/>
        <v>314.69257504813919</v>
      </c>
      <c r="H90" s="21">
        <f t="shared" si="139"/>
        <v>324.13335229958335</v>
      </c>
      <c r="I90" s="21">
        <f t="shared" si="139"/>
        <v>333.85735286857084</v>
      </c>
      <c r="J90" s="21">
        <f t="shared" si="139"/>
        <v>343.87307345462796</v>
      </c>
      <c r="K90" s="23">
        <f t="shared" si="139"/>
        <v>354.18926565826678</v>
      </c>
      <c r="L90" s="105"/>
      <c r="M90" s="101" t="s">
        <v>29</v>
      </c>
      <c r="N90" s="20">
        <f>(K90*N80)+K90</f>
        <v>364.81494362801476</v>
      </c>
      <c r="O90" s="21">
        <f t="shared" ref="O90:U90" si="140">(N90*O80)+N90</f>
        <v>373.93531721871511</v>
      </c>
      <c r="P90" s="21">
        <f t="shared" si="140"/>
        <v>383.28370014918301</v>
      </c>
      <c r="Q90" s="21">
        <f t="shared" si="140"/>
        <v>392.8657926529126</v>
      </c>
      <c r="R90" s="21">
        <f t="shared" si="140"/>
        <v>402.68743746923542</v>
      </c>
      <c r="S90" s="21">
        <f t="shared" si="140"/>
        <v>412.7546234059663</v>
      </c>
      <c r="T90" s="21">
        <f t="shared" si="140"/>
        <v>423.07348899111548</v>
      </c>
      <c r="U90" s="23">
        <f t="shared" si="140"/>
        <v>433.65032621589336</v>
      </c>
    </row>
    <row r="91" spans="2:33">
      <c r="B91" s="76" t="s">
        <v>30</v>
      </c>
      <c r="C91" s="22">
        <f>C88*AB84</f>
        <v>57.593451661731237</v>
      </c>
      <c r="D91" s="23">
        <f>C91*D80+C91</f>
        <v>59.321255211583171</v>
      </c>
      <c r="E91" s="20">
        <f t="shared" ref="E91:K91" si="141">D91*E80+D91</f>
        <v>57.83822383129359</v>
      </c>
      <c r="F91" s="21">
        <f t="shared" si="141"/>
        <v>59.573370546232397</v>
      </c>
      <c r="G91" s="21">
        <f t="shared" si="141"/>
        <v>61.360571662619371</v>
      </c>
      <c r="H91" s="21">
        <f t="shared" si="141"/>
        <v>63.201388812497953</v>
      </c>
      <c r="I91" s="21">
        <f t="shared" si="141"/>
        <v>65.097430476872887</v>
      </c>
      <c r="J91" s="21">
        <f t="shared" si="141"/>
        <v>67.050353391179073</v>
      </c>
      <c r="K91" s="23">
        <f t="shared" si="141"/>
        <v>69.061863992914439</v>
      </c>
      <c r="L91" s="105"/>
      <c r="M91" s="101" t="s">
        <v>30</v>
      </c>
      <c r="N91" s="20">
        <f>K91*N80+K91</f>
        <v>71.133719912701878</v>
      </c>
      <c r="O91" s="21">
        <f t="shared" ref="O91:U91" si="142">N91*O80+N91</f>
        <v>72.912062910519424</v>
      </c>
      <c r="P91" s="21">
        <f t="shared" si="142"/>
        <v>74.734864483282408</v>
      </c>
      <c r="Q91" s="21">
        <f t="shared" si="142"/>
        <v>76.603236095364466</v>
      </c>
      <c r="R91" s="21">
        <f t="shared" si="142"/>
        <v>78.51831699774857</v>
      </c>
      <c r="S91" s="21">
        <f t="shared" si="142"/>
        <v>80.481274922692279</v>
      </c>
      <c r="T91" s="21">
        <f t="shared" si="142"/>
        <v>82.49330679575958</v>
      </c>
      <c r="U91" s="23">
        <f t="shared" si="142"/>
        <v>84.55563946565357</v>
      </c>
    </row>
    <row r="92" spans="2:33">
      <c r="B92" s="76" t="s">
        <v>31</v>
      </c>
      <c r="C92" s="22">
        <f>C88*AC84</f>
        <v>477.08703607524865</v>
      </c>
      <c r="D92" s="23">
        <f>C92*D80+C92</f>
        <v>491.39964715750608</v>
      </c>
      <c r="E92" s="20">
        <f t="shared" ref="E92:K92" si="143">D92*E80+D92</f>
        <v>479.11465597856841</v>
      </c>
      <c r="F92" s="21">
        <f t="shared" si="143"/>
        <v>493.48809565792544</v>
      </c>
      <c r="G92" s="21">
        <f t="shared" si="143"/>
        <v>508.29273852766323</v>
      </c>
      <c r="H92" s="21">
        <f t="shared" si="143"/>
        <v>523.5415206834931</v>
      </c>
      <c r="I92" s="21">
        <f t="shared" si="143"/>
        <v>539.24776630399788</v>
      </c>
      <c r="J92" s="21">
        <f t="shared" si="143"/>
        <v>555.42519929311777</v>
      </c>
      <c r="K92" s="23">
        <f t="shared" si="143"/>
        <v>572.08795527191126</v>
      </c>
      <c r="L92" s="105"/>
      <c r="M92" s="101" t="s">
        <v>31</v>
      </c>
      <c r="N92" s="20">
        <f>K92*N80+K92</f>
        <v>589.25059393006859</v>
      </c>
      <c r="O92" s="21">
        <f t="shared" ref="O92:U92" si="144">N92*O80+N92</f>
        <v>603.98185877832032</v>
      </c>
      <c r="P92" s="21">
        <f t="shared" si="144"/>
        <v>619.08140524777832</v>
      </c>
      <c r="Q92" s="21">
        <f t="shared" si="144"/>
        <v>634.55844037897282</v>
      </c>
      <c r="R92" s="21">
        <f t="shared" si="144"/>
        <v>650.42240138844716</v>
      </c>
      <c r="S92" s="21">
        <f t="shared" si="144"/>
        <v>666.6829614231583</v>
      </c>
      <c r="T92" s="21">
        <f t="shared" si="144"/>
        <v>683.35003545873724</v>
      </c>
      <c r="U92" s="23">
        <f t="shared" si="144"/>
        <v>700.4337863452057</v>
      </c>
    </row>
    <row r="93" spans="2:33">
      <c r="B93" s="76" t="s">
        <v>32</v>
      </c>
      <c r="C93" s="22">
        <f>C88*AD84</f>
        <v>2225.67924120305</v>
      </c>
      <c r="D93" s="23">
        <f>C93*D80+C93</f>
        <v>2292.4496184391414</v>
      </c>
      <c r="E93" s="20">
        <f t="shared" ref="E93:K93" si="145">D93*E80+D93</f>
        <v>2235.1383779781627</v>
      </c>
      <c r="F93" s="21">
        <f t="shared" si="145"/>
        <v>2302.1925293175077</v>
      </c>
      <c r="G93" s="21">
        <f t="shared" si="145"/>
        <v>2371.2583051970328</v>
      </c>
      <c r="H93" s="21">
        <f t="shared" si="145"/>
        <v>2442.3960543529438</v>
      </c>
      <c r="I93" s="21">
        <f t="shared" si="145"/>
        <v>2515.6679359835321</v>
      </c>
      <c r="J93" s="21">
        <f t="shared" si="145"/>
        <v>2591.1379740630382</v>
      </c>
      <c r="K93" s="23">
        <f t="shared" si="145"/>
        <v>2668.8721132849291</v>
      </c>
      <c r="L93" s="105"/>
      <c r="M93" s="101" t="s">
        <v>32</v>
      </c>
      <c r="N93" s="20">
        <f>K93*N80+K93</f>
        <v>2748.9382766834769</v>
      </c>
      <c r="O93" s="21">
        <f t="shared" ref="O93:U93" si="146">N93*O80+N93</f>
        <v>2817.6617336005638</v>
      </c>
      <c r="P93" s="21">
        <f t="shared" si="146"/>
        <v>2888.1032769405779</v>
      </c>
      <c r="Q93" s="21">
        <f t="shared" si="146"/>
        <v>2960.3058588640924</v>
      </c>
      <c r="R93" s="21">
        <f t="shared" si="146"/>
        <v>3034.3135053356946</v>
      </c>
      <c r="S93" s="21">
        <f t="shared" si="146"/>
        <v>3110.1713429690872</v>
      </c>
      <c r="T93" s="21">
        <f t="shared" si="146"/>
        <v>3187.9256265433141</v>
      </c>
      <c r="U93" s="23">
        <f t="shared" si="146"/>
        <v>3267.6237672068969</v>
      </c>
    </row>
    <row r="94" spans="2:33" ht="15.75" thickBot="1">
      <c r="B94" s="77" t="s">
        <v>33</v>
      </c>
      <c r="C94" s="24">
        <f>C88*AE84</f>
        <v>16.818865938129964</v>
      </c>
      <c r="D94" s="26">
        <f>C94*D80+C94</f>
        <v>17.323431916273861</v>
      </c>
      <c r="E94" s="30">
        <f t="shared" ref="E94:K94" si="147">D94*E80+D94</f>
        <v>16.890346118367013</v>
      </c>
      <c r="F94" s="25">
        <f t="shared" si="147"/>
        <v>17.397056501918023</v>
      </c>
      <c r="G94" s="25">
        <f t="shared" si="147"/>
        <v>17.918968196975563</v>
      </c>
      <c r="H94" s="25">
        <f t="shared" si="147"/>
        <v>18.456537242884828</v>
      </c>
      <c r="I94" s="25">
        <f t="shared" si="147"/>
        <v>19.010233360171373</v>
      </c>
      <c r="J94" s="25">
        <f t="shared" si="147"/>
        <v>19.580540360976514</v>
      </c>
      <c r="K94" s="26">
        <f t="shared" si="147"/>
        <v>20.16795657180581</v>
      </c>
      <c r="L94" s="105"/>
      <c r="M94" s="102" t="s">
        <v>33</v>
      </c>
      <c r="N94" s="30">
        <f>K94*N80+K94</f>
        <v>20.772995268959985</v>
      </c>
      <c r="O94" s="25">
        <f t="shared" ref="O94:U94" si="148">N94*O80+N94</f>
        <v>21.292320150683985</v>
      </c>
      <c r="P94" s="25">
        <f t="shared" si="148"/>
        <v>21.824628154451084</v>
      </c>
      <c r="Q94" s="25">
        <f t="shared" si="148"/>
        <v>22.37024385831236</v>
      </c>
      <c r="R94" s="25">
        <f t="shared" si="148"/>
        <v>22.929499954770169</v>
      </c>
      <c r="S94" s="25">
        <f t="shared" si="148"/>
        <v>23.502737453639423</v>
      </c>
      <c r="T94" s="25">
        <f t="shared" si="148"/>
        <v>24.090305889980407</v>
      </c>
      <c r="U94" s="26">
        <f t="shared" si="148"/>
        <v>24.692563537229915</v>
      </c>
    </row>
    <row r="95" spans="2:33">
      <c r="B95" s="60" t="s">
        <v>11</v>
      </c>
      <c r="C95" s="92">
        <v>9753</v>
      </c>
      <c r="D95" s="94">
        <f>SUM(D96:D101)</f>
        <v>10372.337106209476</v>
      </c>
      <c r="E95" s="95">
        <f t="shared" ref="E95:K95" si="149">SUM(E96:E101)</f>
        <v>9621.5690696013808</v>
      </c>
      <c r="F95" s="93">
        <f t="shared" si="149"/>
        <v>10116.629177449624</v>
      </c>
      <c r="G95" s="93">
        <f t="shared" si="149"/>
        <v>10639.957935857727</v>
      </c>
      <c r="H95" s="93">
        <f t="shared" si="149"/>
        <v>11193.275499418571</v>
      </c>
      <c r="I95" s="93">
        <f t="shared" si="149"/>
        <v>11778.410313542776</v>
      </c>
      <c r="J95" s="93">
        <f t="shared" si="149"/>
        <v>12397.306047784912</v>
      </c>
      <c r="K95" s="94">
        <f t="shared" si="149"/>
        <v>13052.028976668644</v>
      </c>
      <c r="L95" s="105"/>
      <c r="M95" s="88" t="s">
        <v>11</v>
      </c>
      <c r="N95" s="95">
        <f t="shared" ref="N95:U95" si="150">SUM(N96:N101)</f>
        <v>13744.775837003148</v>
      </c>
      <c r="O95" s="93">
        <f t="shared" si="150"/>
        <v>14317.511718965145</v>
      </c>
      <c r="P95" s="93">
        <f t="shared" si="150"/>
        <v>14916.021822278037</v>
      </c>
      <c r="Q95" s="93">
        <f t="shared" si="150"/>
        <v>15541.523293690687</v>
      </c>
      <c r="R95" s="93">
        <f t="shared" si="150"/>
        <v>16195.292348181443</v>
      </c>
      <c r="S95" s="93">
        <f t="shared" si="150"/>
        <v>16878.667177641892</v>
      </c>
      <c r="T95" s="93">
        <f t="shared" si="150"/>
        <v>17593.051003876644</v>
      </c>
      <c r="U95" s="94">
        <f t="shared" si="150"/>
        <v>18339.915283106951</v>
      </c>
    </row>
    <row r="96" spans="2:33">
      <c r="B96" s="76" t="s">
        <v>28</v>
      </c>
      <c r="C96" s="22">
        <f>C95*Z86</f>
        <v>6039.4421991134777</v>
      </c>
      <c r="D96" s="23">
        <f>C96*D79+C96</f>
        <v>6552.7947860381237</v>
      </c>
      <c r="E96" s="20">
        <f t="shared" ref="E96:K96" si="151">D96*E79+D96</f>
        <v>5897.5153074343116</v>
      </c>
      <c r="F96" s="21">
        <f t="shared" si="151"/>
        <v>6280.8538024175414</v>
      </c>
      <c r="G96" s="21">
        <f t="shared" si="151"/>
        <v>6689.1092995746812</v>
      </c>
      <c r="H96" s="21">
        <f t="shared" si="151"/>
        <v>7123.9014040470356</v>
      </c>
      <c r="I96" s="21">
        <f t="shared" si="151"/>
        <v>7586.9549953100932</v>
      </c>
      <c r="J96" s="21">
        <f t="shared" si="151"/>
        <v>8080.1070700052496</v>
      </c>
      <c r="K96" s="23">
        <f t="shared" si="151"/>
        <v>8605.3140295555913</v>
      </c>
      <c r="L96" s="105"/>
      <c r="M96" s="101" t="s">
        <v>28</v>
      </c>
      <c r="N96" s="20">
        <f>K96*N79+K96</f>
        <v>9164.6594414767042</v>
      </c>
      <c r="O96" s="21">
        <f t="shared" ref="O96:U97" si="152">N96*O79+N96</f>
        <v>9622.8924135505385</v>
      </c>
      <c r="P96" s="21">
        <f t="shared" si="152"/>
        <v>10104.037034228066</v>
      </c>
      <c r="Q96" s="21">
        <f t="shared" si="152"/>
        <v>10609.238885939469</v>
      </c>
      <c r="R96" s="21">
        <f t="shared" si="152"/>
        <v>11139.700830236443</v>
      </c>
      <c r="S96" s="21">
        <f t="shared" si="152"/>
        <v>11696.685871748265</v>
      </c>
      <c r="T96" s="21">
        <f t="shared" si="152"/>
        <v>12281.520165335678</v>
      </c>
      <c r="U96" s="23">
        <f t="shared" si="152"/>
        <v>12895.596173602462</v>
      </c>
    </row>
    <row r="97" spans="2:21">
      <c r="B97" s="76" t="s">
        <v>29</v>
      </c>
      <c r="C97" s="22">
        <f>C95*AA86</f>
        <v>338.11046550823318</v>
      </c>
      <c r="D97" s="23">
        <f>C97*D80+C97</f>
        <v>348.25377947348017</v>
      </c>
      <c r="E97" s="20">
        <f t="shared" ref="E97:K97" si="153">D97*E80+D97</f>
        <v>339.54743498664317</v>
      </c>
      <c r="F97" s="21">
        <f t="shared" si="153"/>
        <v>349.73385803624245</v>
      </c>
      <c r="G97" s="21">
        <f t="shared" si="153"/>
        <v>360.22587377732975</v>
      </c>
      <c r="H97" s="21">
        <f t="shared" si="153"/>
        <v>371.03264999064965</v>
      </c>
      <c r="I97" s="21">
        <f t="shared" si="153"/>
        <v>382.16362949036915</v>
      </c>
      <c r="J97" s="21">
        <f t="shared" si="153"/>
        <v>393.62853837508021</v>
      </c>
      <c r="K97" s="23">
        <f t="shared" si="153"/>
        <v>405.43739452633264</v>
      </c>
      <c r="L97" s="105"/>
      <c r="M97" s="101" t="s">
        <v>29</v>
      </c>
      <c r="N97" s="20">
        <f>K97*N80+K97</f>
        <v>417.60051636212262</v>
      </c>
      <c r="O97" s="21">
        <f t="shared" si="152"/>
        <v>428.04052927117567</v>
      </c>
      <c r="P97" s="21">
        <f t="shared" si="152"/>
        <v>438.74154250295504</v>
      </c>
      <c r="Q97" s="21">
        <f t="shared" si="152"/>
        <v>449.71008106552893</v>
      </c>
      <c r="R97" s="21">
        <f t="shared" si="152"/>
        <v>460.95283309216717</v>
      </c>
      <c r="S97" s="21">
        <f t="shared" si="152"/>
        <v>472.47665391947135</v>
      </c>
      <c r="T97" s="21">
        <f t="shared" si="152"/>
        <v>484.28857026745811</v>
      </c>
      <c r="U97" s="23">
        <f t="shared" si="152"/>
        <v>496.39578452414457</v>
      </c>
    </row>
    <row r="98" spans="2:21">
      <c r="B98" s="76" t="s">
        <v>30</v>
      </c>
      <c r="C98" s="22">
        <f>C95*AB86</f>
        <v>113.71897510660172</v>
      </c>
      <c r="D98" s="23">
        <f>C98*D80+C98</f>
        <v>117.13054435979977</v>
      </c>
      <c r="E98" s="20">
        <f t="shared" ref="E98:K98" si="154">D98*E80+D98</f>
        <v>114.20228075080477</v>
      </c>
      <c r="F98" s="21">
        <f t="shared" si="154"/>
        <v>117.62834917332891</v>
      </c>
      <c r="G98" s="21">
        <f t="shared" si="154"/>
        <v>121.15719964852877</v>
      </c>
      <c r="H98" s="21">
        <f t="shared" si="154"/>
        <v>124.79191563798463</v>
      </c>
      <c r="I98" s="21">
        <f t="shared" si="154"/>
        <v>128.53567310712418</v>
      </c>
      <c r="J98" s="21">
        <f t="shared" si="154"/>
        <v>132.39174330033791</v>
      </c>
      <c r="K98" s="23">
        <f t="shared" si="154"/>
        <v>136.36349559934806</v>
      </c>
      <c r="L98" s="105"/>
      <c r="M98" s="101" t="s">
        <v>30</v>
      </c>
      <c r="N98" s="20">
        <f>K98*N80+K98</f>
        <v>140.4544004673285</v>
      </c>
      <c r="O98" s="21">
        <f t="shared" ref="O98:U98" si="155">N98*O80+N98</f>
        <v>143.96576047901172</v>
      </c>
      <c r="P98" s="21">
        <f t="shared" si="155"/>
        <v>147.564904490987</v>
      </c>
      <c r="Q98" s="21">
        <f t="shared" si="155"/>
        <v>151.25402710326168</v>
      </c>
      <c r="R98" s="21">
        <f t="shared" si="155"/>
        <v>155.03537778084322</v>
      </c>
      <c r="S98" s="21">
        <f t="shared" si="155"/>
        <v>158.91126222536431</v>
      </c>
      <c r="T98" s="21">
        <f t="shared" si="155"/>
        <v>162.88404378099841</v>
      </c>
      <c r="U98" s="23">
        <f t="shared" si="155"/>
        <v>166.95614487552336</v>
      </c>
    </row>
    <row r="99" spans="2:21">
      <c r="B99" s="76" t="s">
        <v>31</v>
      </c>
      <c r="C99" s="22">
        <f>C95*AC86</f>
        <v>515.62154197495488</v>
      </c>
      <c r="D99" s="23">
        <f>C99*D80+C99</f>
        <v>531.09018823420354</v>
      </c>
      <c r="E99" s="20">
        <f t="shared" ref="E99:K99" si="156">D99*E80+D99</f>
        <v>517.81293352834848</v>
      </c>
      <c r="F99" s="21">
        <f t="shared" si="156"/>
        <v>533.34732153419895</v>
      </c>
      <c r="G99" s="21">
        <f t="shared" si="156"/>
        <v>549.34774118022494</v>
      </c>
      <c r="H99" s="21">
        <f t="shared" si="156"/>
        <v>565.82817341563168</v>
      </c>
      <c r="I99" s="21">
        <f t="shared" si="156"/>
        <v>582.80301861810062</v>
      </c>
      <c r="J99" s="21">
        <f t="shared" si="156"/>
        <v>600.28710917664364</v>
      </c>
      <c r="K99" s="23">
        <f t="shared" si="156"/>
        <v>618.29572245194299</v>
      </c>
      <c r="L99" s="105"/>
      <c r="M99" s="101" t="s">
        <v>31</v>
      </c>
      <c r="N99" s="20">
        <f>K99*N80+K99</f>
        <v>636.84459412550132</v>
      </c>
      <c r="O99" s="21">
        <f t="shared" ref="O99:U99" si="157">N99*O80+N99</f>
        <v>652.76570897863883</v>
      </c>
      <c r="P99" s="21">
        <f t="shared" si="157"/>
        <v>669.08485170310485</v>
      </c>
      <c r="Q99" s="21">
        <f t="shared" si="157"/>
        <v>685.81197299568248</v>
      </c>
      <c r="R99" s="21">
        <f t="shared" si="157"/>
        <v>702.95727232057459</v>
      </c>
      <c r="S99" s="21">
        <f t="shared" si="157"/>
        <v>720.53120412858891</v>
      </c>
      <c r="T99" s="21">
        <f t="shared" si="157"/>
        <v>738.54448423180361</v>
      </c>
      <c r="U99" s="23">
        <f t="shared" si="157"/>
        <v>757.00809633759866</v>
      </c>
    </row>
    <row r="100" spans="2:21">
      <c r="B100" s="76" t="s">
        <v>32</v>
      </c>
      <c r="C100" s="22">
        <f>C95*AD86</f>
        <v>2725.5103391030284</v>
      </c>
      <c r="D100" s="23">
        <f>C100*D80+C100</f>
        <v>2807.2756492761191</v>
      </c>
      <c r="E100" s="20">
        <f t="shared" ref="E100:K100" si="158">D100*E80+D100</f>
        <v>2737.093758044216</v>
      </c>
      <c r="F100" s="21">
        <f t="shared" si="158"/>
        <v>2819.2065707855427</v>
      </c>
      <c r="G100" s="21">
        <f t="shared" si="158"/>
        <v>2903.7827679091088</v>
      </c>
      <c r="H100" s="21">
        <f t="shared" si="158"/>
        <v>2990.8962509463822</v>
      </c>
      <c r="I100" s="21">
        <f t="shared" si="158"/>
        <v>3080.6231384747739</v>
      </c>
      <c r="J100" s="21">
        <f t="shared" si="158"/>
        <v>3173.0418326290173</v>
      </c>
      <c r="K100" s="23">
        <f t="shared" si="158"/>
        <v>3268.2330876078877</v>
      </c>
      <c r="L100" s="105"/>
      <c r="M100" s="101" t="s">
        <v>32</v>
      </c>
      <c r="N100" s="20">
        <f>K100*N80+K100</f>
        <v>3366.2800802361244</v>
      </c>
      <c r="O100" s="21">
        <f t="shared" ref="O100:U100" si="159">N100*O80+N100</f>
        <v>3450.4370822420274</v>
      </c>
      <c r="P100" s="21">
        <f t="shared" si="159"/>
        <v>3536.698009298078</v>
      </c>
      <c r="Q100" s="21">
        <f t="shared" si="159"/>
        <v>3625.1154595305297</v>
      </c>
      <c r="R100" s="21">
        <f t="shared" si="159"/>
        <v>3715.7433460187931</v>
      </c>
      <c r="S100" s="21">
        <f t="shared" si="159"/>
        <v>3808.6369296692628</v>
      </c>
      <c r="T100" s="21">
        <f t="shared" si="159"/>
        <v>3903.8528529109944</v>
      </c>
      <c r="U100" s="23">
        <f t="shared" si="159"/>
        <v>4001.4491742337691</v>
      </c>
    </row>
    <row r="101" spans="2:21" ht="15.75" thickBot="1">
      <c r="B101" s="77" t="s">
        <v>33</v>
      </c>
      <c r="C101" s="24">
        <f>C95*AE87</f>
        <v>15.332193036651804</v>
      </c>
      <c r="D101" s="26">
        <f>C101*D80+C101</f>
        <v>15.792158827751358</v>
      </c>
      <c r="E101" s="86">
        <f t="shared" ref="E101:K101" si="160">D101*E80+D101</f>
        <v>15.397354857057573</v>
      </c>
      <c r="F101" s="67">
        <f t="shared" si="160"/>
        <v>15.8592755027693</v>
      </c>
      <c r="G101" s="67">
        <f t="shared" si="160"/>
        <v>16.335053767852379</v>
      </c>
      <c r="H101" s="67">
        <f t="shared" si="160"/>
        <v>16.825105380887951</v>
      </c>
      <c r="I101" s="67">
        <f t="shared" si="160"/>
        <v>17.329858542314589</v>
      </c>
      <c r="J101" s="67">
        <f t="shared" si="160"/>
        <v>17.849754298584028</v>
      </c>
      <c r="K101" s="68">
        <f t="shared" si="160"/>
        <v>18.385246927541548</v>
      </c>
      <c r="L101" s="105"/>
      <c r="M101" s="102" t="s">
        <v>33</v>
      </c>
      <c r="N101" s="86">
        <f>K101*N80+K101</f>
        <v>18.936804335367796</v>
      </c>
      <c r="O101" s="67">
        <f t="shared" ref="O101:U101" si="161">N101*O80+N101</f>
        <v>19.410224443751993</v>
      </c>
      <c r="P101" s="67">
        <f t="shared" si="161"/>
        <v>19.895480054845791</v>
      </c>
      <c r="Q101" s="67">
        <f t="shared" si="161"/>
        <v>20.392867056216936</v>
      </c>
      <c r="R101" s="67">
        <f t="shared" si="161"/>
        <v>20.902688732622359</v>
      </c>
      <c r="S101" s="67">
        <f t="shared" si="161"/>
        <v>21.425255950937917</v>
      </c>
      <c r="T101" s="67">
        <f t="shared" si="161"/>
        <v>21.960887349711363</v>
      </c>
      <c r="U101" s="68">
        <f t="shared" si="161"/>
        <v>22.509909533454149</v>
      </c>
    </row>
    <row r="102" spans="2:21" s="5" customFormat="1" ht="17.25" customHeight="1">
      <c r="B102" s="87" t="s">
        <v>13</v>
      </c>
      <c r="C102" s="90">
        <v>6540</v>
      </c>
      <c r="D102" s="91">
        <f>SUM(D103:D108)</f>
        <v>7095.9000000000005</v>
      </c>
      <c r="E102" s="92">
        <f t="shared" ref="E102:K102" si="162">SUM(E103:E108)</f>
        <v>6386.31</v>
      </c>
      <c r="F102" s="93">
        <f t="shared" si="162"/>
        <v>6801.4201500000008</v>
      </c>
      <c r="G102" s="93">
        <f t="shared" si="162"/>
        <v>7243.5124597500007</v>
      </c>
      <c r="H102" s="93">
        <f t="shared" si="162"/>
        <v>7714.3407696337499</v>
      </c>
      <c r="I102" s="93">
        <f t="shared" si="162"/>
        <v>8215.7729196599448</v>
      </c>
      <c r="J102" s="93">
        <f t="shared" si="162"/>
        <v>8749.7981594378416</v>
      </c>
      <c r="K102" s="94">
        <f t="shared" si="162"/>
        <v>9318.5350398012997</v>
      </c>
      <c r="L102" s="105"/>
      <c r="M102" s="103" t="s">
        <v>13</v>
      </c>
      <c r="N102" s="95">
        <f t="shared" ref="N102:U102" si="163">SUM(N103:N108)</f>
        <v>9924.2398173883867</v>
      </c>
      <c r="O102" s="93">
        <f t="shared" si="163"/>
        <v>10420.451808257805</v>
      </c>
      <c r="P102" s="93">
        <f t="shared" si="163"/>
        <v>10941.474398670694</v>
      </c>
      <c r="Q102" s="93">
        <f t="shared" si="163"/>
        <v>11488.548118604231</v>
      </c>
      <c r="R102" s="93">
        <f t="shared" si="163"/>
        <v>12062.97552453444</v>
      </c>
      <c r="S102" s="93">
        <f t="shared" si="163"/>
        <v>12666.124300761163</v>
      </c>
      <c r="T102" s="93">
        <f t="shared" si="163"/>
        <v>13299.43051579922</v>
      </c>
      <c r="U102" s="94">
        <f t="shared" si="163"/>
        <v>13964.402041589181</v>
      </c>
    </row>
    <row r="103" spans="2:21">
      <c r="B103" s="84" t="s">
        <v>28</v>
      </c>
      <c r="C103" s="43">
        <f>C102*Z85</f>
        <v>3567.2764631907726</v>
      </c>
      <c r="D103" s="69">
        <f>C103*D79+C103</f>
        <v>3870.4949625619884</v>
      </c>
      <c r="E103" s="22">
        <f t="shared" ref="E103:K103" si="164">D103*E79+D103</f>
        <v>3483.4454663057895</v>
      </c>
      <c r="F103" s="21">
        <f t="shared" si="164"/>
        <v>3709.8694216156659</v>
      </c>
      <c r="G103" s="21">
        <f t="shared" si="164"/>
        <v>3951.0109340206841</v>
      </c>
      <c r="H103" s="21">
        <f t="shared" si="164"/>
        <v>4207.8266447320284</v>
      </c>
      <c r="I103" s="21">
        <f t="shared" si="164"/>
        <v>4481.3353766396103</v>
      </c>
      <c r="J103" s="21">
        <f t="shared" si="164"/>
        <v>4772.6221761211855</v>
      </c>
      <c r="K103" s="23">
        <f t="shared" si="164"/>
        <v>5082.8426175690629</v>
      </c>
      <c r="L103" s="105"/>
      <c r="M103" s="70" t="s">
        <v>28</v>
      </c>
      <c r="N103" s="20">
        <f>K103*N79+K103</f>
        <v>5413.227387711052</v>
      </c>
      <c r="O103" s="21">
        <f t="shared" ref="O103:U103" si="165">N103*O79+N103</f>
        <v>5683.8887570966044</v>
      </c>
      <c r="P103" s="21">
        <f t="shared" si="165"/>
        <v>5968.083194951435</v>
      </c>
      <c r="Q103" s="21">
        <f t="shared" si="165"/>
        <v>6266.4873546990066</v>
      </c>
      <c r="R103" s="21">
        <f t="shared" si="165"/>
        <v>6579.8117224339567</v>
      </c>
      <c r="S103" s="21">
        <f t="shared" si="165"/>
        <v>6908.8023085556542</v>
      </c>
      <c r="T103" s="21">
        <f t="shared" si="165"/>
        <v>7254.2424239834372</v>
      </c>
      <c r="U103" s="23">
        <f t="shared" si="165"/>
        <v>7616.9545451826089</v>
      </c>
    </row>
    <row r="104" spans="2:21">
      <c r="B104" s="84" t="s">
        <v>29</v>
      </c>
      <c r="C104" s="22">
        <f>C102*AA85</f>
        <v>171.48162701401591</v>
      </c>
      <c r="D104" s="61">
        <f>C104*D79+C104</f>
        <v>186.05756531020728</v>
      </c>
      <c r="E104" s="22">
        <f t="shared" ref="E104:K104" si="166">D104*E79+D104</f>
        <v>167.45180877918656</v>
      </c>
      <c r="F104" s="21">
        <f t="shared" si="166"/>
        <v>178.33617634983369</v>
      </c>
      <c r="G104" s="21">
        <f t="shared" si="166"/>
        <v>189.92802781257288</v>
      </c>
      <c r="H104" s="21">
        <f t="shared" si="166"/>
        <v>202.27334962039012</v>
      </c>
      <c r="I104" s="21">
        <f t="shared" si="166"/>
        <v>215.42111734571549</v>
      </c>
      <c r="J104" s="21">
        <f t="shared" si="166"/>
        <v>229.423489973187</v>
      </c>
      <c r="K104" s="23">
        <f t="shared" si="166"/>
        <v>244.33601682144416</v>
      </c>
      <c r="L104" s="105"/>
      <c r="M104" s="70" t="s">
        <v>29</v>
      </c>
      <c r="N104" s="20">
        <f>K104*N79+K104</f>
        <v>260.21785791483802</v>
      </c>
      <c r="O104" s="21">
        <f t="shared" ref="O104:U104" si="167">N104*O79+N104</f>
        <v>273.22875081057992</v>
      </c>
      <c r="P104" s="21">
        <f t="shared" si="167"/>
        <v>286.89018835110892</v>
      </c>
      <c r="Q104" s="21">
        <f t="shared" si="167"/>
        <v>301.23469776866438</v>
      </c>
      <c r="R104" s="21">
        <f t="shared" si="167"/>
        <v>316.29643265709757</v>
      </c>
      <c r="S104" s="21">
        <f t="shared" si="167"/>
        <v>332.11125428995246</v>
      </c>
      <c r="T104" s="21">
        <f t="shared" si="167"/>
        <v>348.71681700445009</v>
      </c>
      <c r="U104" s="23">
        <f t="shared" si="167"/>
        <v>366.15265785467261</v>
      </c>
    </row>
    <row r="105" spans="2:21">
      <c r="B105" s="84" t="s">
        <v>30</v>
      </c>
      <c r="C105" s="22">
        <f>C102*AB85</f>
        <v>32.519921278380124</v>
      </c>
      <c r="D105" s="61">
        <f>C105*D79+C105</f>
        <v>35.284114587042438</v>
      </c>
      <c r="E105" s="22">
        <f t="shared" ref="E105:K105" si="168">D105*E79+D105</f>
        <v>31.755703128338194</v>
      </c>
      <c r="F105" s="21">
        <f t="shared" si="168"/>
        <v>33.819823831680175</v>
      </c>
      <c r="G105" s="21">
        <f t="shared" si="168"/>
        <v>36.018112380739389</v>
      </c>
      <c r="H105" s="21">
        <f t="shared" si="168"/>
        <v>38.359289685487447</v>
      </c>
      <c r="I105" s="21">
        <f t="shared" si="168"/>
        <v>40.852643515044129</v>
      </c>
      <c r="J105" s="21">
        <f t="shared" si="168"/>
        <v>43.508065343521999</v>
      </c>
      <c r="K105" s="23">
        <f t="shared" si="168"/>
        <v>46.336089590850932</v>
      </c>
      <c r="L105" s="105"/>
      <c r="M105" s="70" t="s">
        <v>30</v>
      </c>
      <c r="N105" s="20">
        <f>K105*N79+K105</f>
        <v>49.347935414256241</v>
      </c>
      <c r="O105" s="21">
        <f t="shared" ref="O105:U105" si="169">N105*O79+N105</f>
        <v>51.815332184969051</v>
      </c>
      <c r="P105" s="21">
        <f t="shared" si="169"/>
        <v>54.406098794217506</v>
      </c>
      <c r="Q105" s="21">
        <f t="shared" si="169"/>
        <v>57.126403733928385</v>
      </c>
      <c r="R105" s="21">
        <f t="shared" si="169"/>
        <v>59.982723920624807</v>
      </c>
      <c r="S105" s="21">
        <f t="shared" si="169"/>
        <v>62.981860116656044</v>
      </c>
      <c r="T105" s="21">
        <f t="shared" si="169"/>
        <v>66.130953122488847</v>
      </c>
      <c r="U105" s="23">
        <f t="shared" si="169"/>
        <v>69.437500778613284</v>
      </c>
    </row>
    <row r="106" spans="2:21">
      <c r="B106" s="84" t="s">
        <v>31</v>
      </c>
      <c r="C106" s="22">
        <f>C102*AC85</f>
        <v>393.31570838147314</v>
      </c>
      <c r="D106" s="61">
        <f>C106*D79+C106</f>
        <v>426.74754359389834</v>
      </c>
      <c r="E106" s="22">
        <f t="shared" ref="E106:K106" si="170">D106*E79+D106</f>
        <v>384.07278923450849</v>
      </c>
      <c r="F106" s="21">
        <f t="shared" si="170"/>
        <v>409.03752053475154</v>
      </c>
      <c r="G106" s="21">
        <f t="shared" si="170"/>
        <v>435.62495936951041</v>
      </c>
      <c r="H106" s="21">
        <f t="shared" si="170"/>
        <v>463.94058172852857</v>
      </c>
      <c r="I106" s="21">
        <f t="shared" si="170"/>
        <v>494.09671954088293</v>
      </c>
      <c r="J106" s="21">
        <f t="shared" si="170"/>
        <v>526.21300631104032</v>
      </c>
      <c r="K106" s="23">
        <f t="shared" si="170"/>
        <v>560.4168517212579</v>
      </c>
      <c r="L106" s="105"/>
      <c r="M106" s="70" t="s">
        <v>31</v>
      </c>
      <c r="N106" s="20">
        <f>K106*N79+K106</f>
        <v>596.84394708313971</v>
      </c>
      <c r="O106" s="21">
        <f t="shared" ref="O106:U106" si="171">N106*O79+N106</f>
        <v>626.68614443729666</v>
      </c>
      <c r="P106" s="21">
        <f t="shared" si="171"/>
        <v>658.02045165916149</v>
      </c>
      <c r="Q106" s="21">
        <f t="shared" si="171"/>
        <v>690.92147424211953</v>
      </c>
      <c r="R106" s="21">
        <f t="shared" si="171"/>
        <v>725.46754795422555</v>
      </c>
      <c r="S106" s="21">
        <f t="shared" si="171"/>
        <v>761.74092535193688</v>
      </c>
      <c r="T106" s="21">
        <f t="shared" si="171"/>
        <v>799.82797161953374</v>
      </c>
      <c r="U106" s="23">
        <f t="shared" si="171"/>
        <v>839.81937020051043</v>
      </c>
    </row>
    <row r="107" spans="2:21">
      <c r="B107" s="84" t="s">
        <v>32</v>
      </c>
      <c r="C107" s="22">
        <f>C102*AD85</f>
        <v>2357.5901850996966</v>
      </c>
      <c r="D107" s="61">
        <f>C107*D79+C107</f>
        <v>2557.9853508331707</v>
      </c>
      <c r="E107" s="22">
        <f t="shared" ref="E107:K107" si="172">D107*E79+D107</f>
        <v>2302.1868157498538</v>
      </c>
      <c r="F107" s="21">
        <f t="shared" si="172"/>
        <v>2451.8289587735944</v>
      </c>
      <c r="G107" s="21">
        <f t="shared" si="172"/>
        <v>2611.1978410938782</v>
      </c>
      <c r="H107" s="21">
        <f t="shared" si="172"/>
        <v>2780.9257007649803</v>
      </c>
      <c r="I107" s="21">
        <f t="shared" si="172"/>
        <v>2961.6858713147039</v>
      </c>
      <c r="J107" s="21">
        <f t="shared" si="172"/>
        <v>3154.1954529501595</v>
      </c>
      <c r="K107" s="23">
        <f t="shared" si="172"/>
        <v>3359.2181573919197</v>
      </c>
      <c r="L107" s="105"/>
      <c r="M107" s="70" t="s">
        <v>32</v>
      </c>
      <c r="N107" s="20">
        <f>K107*N79+K107</f>
        <v>3577.5673376223945</v>
      </c>
      <c r="O107" s="21">
        <f t="shared" ref="O107:U107" si="173">N107*O79+N107</f>
        <v>3756.4457045035142</v>
      </c>
      <c r="P107" s="21">
        <f t="shared" si="173"/>
        <v>3944.2679897286898</v>
      </c>
      <c r="Q107" s="21">
        <f t="shared" si="173"/>
        <v>4141.4813892151242</v>
      </c>
      <c r="R107" s="21">
        <f t="shared" si="173"/>
        <v>4348.5554586758808</v>
      </c>
      <c r="S107" s="21">
        <f t="shared" si="173"/>
        <v>4565.9832316096745</v>
      </c>
      <c r="T107" s="21">
        <f t="shared" si="173"/>
        <v>4794.2823931901585</v>
      </c>
      <c r="U107" s="23">
        <f t="shared" si="173"/>
        <v>5033.996512849666</v>
      </c>
    </row>
    <row r="108" spans="2:21" ht="15.75" thickBot="1">
      <c r="B108" s="85" t="s">
        <v>33</v>
      </c>
      <c r="C108" s="24">
        <f>C102*AE85</f>
        <v>17.816095035661832</v>
      </c>
      <c r="D108" s="52">
        <f>C108*D79+C108</f>
        <v>19.330463113693089</v>
      </c>
      <c r="E108" s="24">
        <f t="shared" ref="E108:K108" si="174">D108*E79+D108</f>
        <v>17.397416802323779</v>
      </c>
      <c r="F108" s="25">
        <f t="shared" si="174"/>
        <v>18.528248894474824</v>
      </c>
      <c r="G108" s="25">
        <f t="shared" si="174"/>
        <v>19.732585072615688</v>
      </c>
      <c r="H108" s="25">
        <f t="shared" si="174"/>
        <v>21.015203102335708</v>
      </c>
      <c r="I108" s="25">
        <f t="shared" si="174"/>
        <v>22.381191303987528</v>
      </c>
      <c r="J108" s="25">
        <f t="shared" si="174"/>
        <v>23.835968738746718</v>
      </c>
      <c r="K108" s="26">
        <f t="shared" si="174"/>
        <v>25.385306706765256</v>
      </c>
      <c r="L108" s="105"/>
      <c r="M108" s="71" t="s">
        <v>33</v>
      </c>
      <c r="N108" s="30">
        <f>K108*N79+K108</f>
        <v>27.035351642704999</v>
      </c>
      <c r="O108" s="25">
        <f t="shared" ref="O108:U108" si="175">N108*O79+N108</f>
        <v>28.387119224840248</v>
      </c>
      <c r="P108" s="25">
        <f t="shared" si="175"/>
        <v>29.80647518608226</v>
      </c>
      <c r="Q108" s="25">
        <f t="shared" si="175"/>
        <v>31.296798945386371</v>
      </c>
      <c r="R108" s="25">
        <f t="shared" si="175"/>
        <v>32.861638892655691</v>
      </c>
      <c r="S108" s="25">
        <f t="shared" si="175"/>
        <v>34.504720837288474</v>
      </c>
      <c r="T108" s="25">
        <f t="shared" si="175"/>
        <v>36.229956879152894</v>
      </c>
      <c r="U108" s="26">
        <f t="shared" si="175"/>
        <v>38.04145472311054</v>
      </c>
    </row>
    <row r="109" spans="2:21">
      <c r="L109" s="105"/>
    </row>
  </sheetData>
  <mergeCells count="4">
    <mergeCell ref="B1:T1"/>
    <mergeCell ref="B3:T3"/>
    <mergeCell ref="B39:T39"/>
    <mergeCell ref="B75:T75"/>
  </mergeCells>
  <pageMargins left="0.70866141732283472" right="0.70866141732283472" top="0.74803149606299213" bottom="0.74803149606299213" header="0.31496062992125984" footer="0.31496062992125984"/>
  <pageSetup paperSize="9" scale="41" pageOrder="overThenDown" orientation="portrait" r:id="rId1"/>
  <rowBreaks count="2" manualBreakCount="2">
    <brk id="37" min="1" max="21" man="1"/>
    <brk id="73" min="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B41"/>
  <sheetViews>
    <sheetView showGridLines="0" topLeftCell="D1" zoomScale="70" zoomScaleNormal="70" workbookViewId="0">
      <selection activeCell="U17" sqref="U1:AC17"/>
    </sheetView>
  </sheetViews>
  <sheetFormatPr baseColWidth="10" defaultRowHeight="15"/>
  <cols>
    <col min="1" max="1" width="45.42578125" customWidth="1"/>
    <col min="2" max="2" width="12" customWidth="1"/>
    <col min="3" max="3" width="13.28515625" customWidth="1"/>
    <col min="4" max="4" width="8.42578125" customWidth="1"/>
    <col min="5" max="5" width="6.28515625" customWidth="1"/>
    <col min="6" max="6" width="7.85546875" bestFit="1" customWidth="1"/>
    <col min="7" max="7" width="8.42578125" customWidth="1"/>
    <col min="8" max="18" width="7.140625" customWidth="1"/>
    <col min="19" max="19" width="12.85546875" customWidth="1"/>
    <col min="21" max="21" width="21.28515625" customWidth="1"/>
    <col min="23" max="23" width="11.42578125" customWidth="1"/>
    <col min="24" max="24" width="13" customWidth="1"/>
    <col min="25" max="25" width="11.42578125" customWidth="1"/>
  </cols>
  <sheetData>
    <row r="1" spans="1:28" ht="105">
      <c r="A1" s="145" t="s">
        <v>56</v>
      </c>
      <c r="B1" s="145" t="s">
        <v>57</v>
      </c>
      <c r="C1" s="145" t="s">
        <v>58</v>
      </c>
      <c r="D1" s="145" t="s">
        <v>59</v>
      </c>
      <c r="E1" s="145" t="s">
        <v>60</v>
      </c>
      <c r="F1" s="154" t="s">
        <v>61</v>
      </c>
      <c r="G1" s="145" t="s">
        <v>62</v>
      </c>
      <c r="H1" s="145" t="s">
        <v>63</v>
      </c>
      <c r="I1" s="145" t="s">
        <v>64</v>
      </c>
      <c r="J1" s="145" t="s">
        <v>65</v>
      </c>
      <c r="K1" s="145" t="s">
        <v>66</v>
      </c>
      <c r="L1" s="145" t="s">
        <v>67</v>
      </c>
      <c r="M1" s="145" t="s">
        <v>68</v>
      </c>
      <c r="N1" s="145" t="s">
        <v>69</v>
      </c>
      <c r="O1" s="145" t="s">
        <v>70</v>
      </c>
      <c r="P1" s="145" t="s">
        <v>71</v>
      </c>
      <c r="Q1" s="145" t="s">
        <v>72</v>
      </c>
      <c r="R1" s="145" t="s">
        <v>73</v>
      </c>
      <c r="S1" s="145" t="s">
        <v>74</v>
      </c>
      <c r="U1" s="171" t="s">
        <v>93</v>
      </c>
      <c r="V1" s="171" t="s">
        <v>19</v>
      </c>
      <c r="W1" s="171" t="s">
        <v>94</v>
      </c>
      <c r="X1" s="171" t="s">
        <v>95</v>
      </c>
      <c r="Y1" s="171" t="s">
        <v>96</v>
      </c>
      <c r="Z1" s="171" t="s">
        <v>97</v>
      </c>
      <c r="AA1" s="171" t="s">
        <v>98</v>
      </c>
      <c r="AB1" s="178" t="s">
        <v>108</v>
      </c>
    </row>
    <row r="2" spans="1:28" ht="15.75">
      <c r="A2" s="146" t="s">
        <v>77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8"/>
    </row>
    <row r="3" spans="1:28">
      <c r="U3" s="170" t="s">
        <v>242</v>
      </c>
      <c r="V3" s="170">
        <f>D20</f>
        <v>2020</v>
      </c>
      <c r="W3" s="173">
        <f>G4</f>
        <v>63.1</v>
      </c>
      <c r="X3" s="174">
        <f>H4+J4</f>
        <v>6.1</v>
      </c>
      <c r="Y3" s="174">
        <f>I4+K4+L4+O4+P4</f>
        <v>11.9</v>
      </c>
      <c r="Z3" s="174">
        <f>M4+Q4+N4</f>
        <v>18.200000000000003</v>
      </c>
      <c r="AA3" s="175">
        <f>R4</f>
        <v>1</v>
      </c>
      <c r="AB3" s="175">
        <f>+SUM(H4:R4)</f>
        <v>37.199999999999996</v>
      </c>
    </row>
    <row r="4" spans="1:28">
      <c r="A4" s="150" t="s">
        <v>47</v>
      </c>
      <c r="B4" s="149" t="s">
        <v>51</v>
      </c>
      <c r="C4" s="149" t="s">
        <v>49</v>
      </c>
      <c r="D4" s="149">
        <v>2018</v>
      </c>
      <c r="E4" s="149">
        <v>3</v>
      </c>
      <c r="F4" s="149" t="s">
        <v>55</v>
      </c>
      <c r="G4" s="149">
        <v>63.1</v>
      </c>
      <c r="H4" s="149">
        <v>0.3</v>
      </c>
      <c r="I4" s="149">
        <v>1.4</v>
      </c>
      <c r="J4" s="149">
        <v>5.8</v>
      </c>
      <c r="K4" s="149">
        <v>0.8</v>
      </c>
      <c r="L4" s="149">
        <v>1.6</v>
      </c>
      <c r="M4" s="149">
        <v>11</v>
      </c>
      <c r="N4" s="149">
        <v>0.1</v>
      </c>
      <c r="O4" s="149">
        <v>0.9</v>
      </c>
      <c r="P4" s="149">
        <v>7.2</v>
      </c>
      <c r="Q4" s="149">
        <v>7.1</v>
      </c>
      <c r="R4" s="149">
        <v>1</v>
      </c>
      <c r="S4" s="149">
        <v>4280</v>
      </c>
      <c r="T4">
        <f>+SUM(G4:R4)</f>
        <v>100.29999999999998</v>
      </c>
      <c r="U4" s="172" t="s">
        <v>241</v>
      </c>
      <c r="V4" s="172">
        <f>D19</f>
        <v>2023</v>
      </c>
      <c r="W4" s="173">
        <f>G19</f>
        <v>75.8</v>
      </c>
      <c r="X4" s="174">
        <f>H19+J19</f>
        <v>7.6000000000000005</v>
      </c>
      <c r="Y4" s="174">
        <f>I19+K19+L19+O19+P19</f>
        <v>6.4</v>
      </c>
      <c r="Z4" s="174">
        <f>M19+Q19+N19</f>
        <v>9.7000000000000011</v>
      </c>
      <c r="AA4" s="175">
        <f>R19</f>
        <v>0.4</v>
      </c>
      <c r="AB4" s="175">
        <f>+SUM(H19:R19)</f>
        <v>24.099999999999998</v>
      </c>
    </row>
    <row r="5" spans="1:28" ht="15.75" thickBot="1">
      <c r="A5" s="150" t="s">
        <v>47</v>
      </c>
      <c r="B5" s="149" t="s">
        <v>51</v>
      </c>
      <c r="C5" s="149" t="s">
        <v>49</v>
      </c>
      <c r="D5" s="149">
        <v>2018</v>
      </c>
      <c r="E5" s="149">
        <v>4</v>
      </c>
      <c r="F5" s="149" t="s">
        <v>55</v>
      </c>
      <c r="G5" s="149">
        <v>62.3</v>
      </c>
      <c r="H5" s="149">
        <v>0.3</v>
      </c>
      <c r="I5" s="149">
        <v>1.3</v>
      </c>
      <c r="J5" s="149">
        <v>6.1</v>
      </c>
      <c r="K5" s="149">
        <v>0.6</v>
      </c>
      <c r="L5" s="149">
        <v>1.7</v>
      </c>
      <c r="M5" s="149">
        <v>12.7</v>
      </c>
      <c r="N5" s="149">
        <v>0.1</v>
      </c>
      <c r="O5" s="149">
        <v>0.8</v>
      </c>
      <c r="P5" s="149">
        <v>7</v>
      </c>
      <c r="Q5" s="149">
        <v>6.4</v>
      </c>
      <c r="R5" s="149">
        <v>0.8</v>
      </c>
      <c r="S5" s="149">
        <v>4077</v>
      </c>
    </row>
    <row r="6" spans="1:28">
      <c r="A6" s="150" t="s">
        <v>47</v>
      </c>
      <c r="B6" s="149" t="s">
        <v>51</v>
      </c>
      <c r="C6" s="149" t="s">
        <v>49</v>
      </c>
      <c r="D6" s="149">
        <v>2018</v>
      </c>
      <c r="E6" s="149">
        <v>7</v>
      </c>
      <c r="F6" s="149" t="s">
        <v>55</v>
      </c>
      <c r="G6" s="149">
        <v>65.7</v>
      </c>
      <c r="H6" s="149">
        <v>0.2</v>
      </c>
      <c r="I6" s="149">
        <v>1.3</v>
      </c>
      <c r="J6" s="149">
        <v>5.6</v>
      </c>
      <c r="K6" s="149">
        <v>0.6</v>
      </c>
      <c r="L6" s="149">
        <v>1.5</v>
      </c>
      <c r="M6" s="149">
        <v>10.9</v>
      </c>
      <c r="N6" s="149">
        <v>0.1</v>
      </c>
      <c r="O6" s="149">
        <v>0.7</v>
      </c>
      <c r="P6" s="149">
        <v>6</v>
      </c>
      <c r="Q6" s="149">
        <v>6.3</v>
      </c>
      <c r="R6" s="149">
        <v>1.2</v>
      </c>
      <c r="S6" s="149">
        <v>4296</v>
      </c>
      <c r="U6" s="271" t="s">
        <v>171</v>
      </c>
      <c r="V6" s="369"/>
      <c r="W6" s="369"/>
      <c r="X6" s="369"/>
      <c r="Y6" s="369"/>
      <c r="Z6" s="369"/>
      <c r="AA6" s="374"/>
    </row>
    <row r="7" spans="1:28">
      <c r="A7" s="150" t="s">
        <v>47</v>
      </c>
      <c r="B7" s="149" t="s">
        <v>51</v>
      </c>
      <c r="C7" s="149" t="s">
        <v>49</v>
      </c>
      <c r="D7" s="149">
        <v>2018</v>
      </c>
      <c r="E7" s="149">
        <v>8</v>
      </c>
      <c r="F7" s="149" t="s">
        <v>55</v>
      </c>
      <c r="G7" s="149">
        <v>63.8</v>
      </c>
      <c r="H7" s="149">
        <v>0.3</v>
      </c>
      <c r="I7" s="149">
        <v>1.2</v>
      </c>
      <c r="J7" s="149">
        <v>5.8</v>
      </c>
      <c r="K7" s="149">
        <v>0.5</v>
      </c>
      <c r="L7" s="149">
        <v>1.5</v>
      </c>
      <c r="M7" s="149">
        <v>11.2</v>
      </c>
      <c r="N7" s="149">
        <v>0.1</v>
      </c>
      <c r="O7" s="149">
        <v>0.6</v>
      </c>
      <c r="P7" s="149">
        <v>6.7</v>
      </c>
      <c r="Q7" s="149">
        <v>7.4</v>
      </c>
      <c r="R7" s="149">
        <v>0.7</v>
      </c>
      <c r="S7" s="149">
        <v>3985</v>
      </c>
      <c r="U7" s="375" t="s">
        <v>172</v>
      </c>
      <c r="V7" s="179"/>
      <c r="W7" s="179"/>
      <c r="X7" s="215" t="s">
        <v>173</v>
      </c>
      <c r="Y7" s="215" t="s">
        <v>174</v>
      </c>
      <c r="Z7" s="179"/>
      <c r="AA7" s="367"/>
    </row>
    <row r="8" spans="1:28">
      <c r="A8" s="150" t="s">
        <v>47</v>
      </c>
      <c r="B8" s="149" t="s">
        <v>51</v>
      </c>
      <c r="C8" s="149" t="s">
        <v>49</v>
      </c>
      <c r="D8" s="149">
        <v>2014</v>
      </c>
      <c r="E8" s="149">
        <v>8</v>
      </c>
      <c r="F8" s="149" t="s">
        <v>55</v>
      </c>
      <c r="G8" s="149">
        <v>60.7</v>
      </c>
      <c r="H8" s="149">
        <v>0.2</v>
      </c>
      <c r="I8" s="149">
        <v>1.2</v>
      </c>
      <c r="J8" s="149">
        <v>6.1</v>
      </c>
      <c r="K8" s="149">
        <v>0.4</v>
      </c>
      <c r="L8" s="149">
        <v>2.2000000000000002</v>
      </c>
      <c r="M8" s="149">
        <v>15.9</v>
      </c>
      <c r="N8" s="149">
        <v>0.1</v>
      </c>
      <c r="O8" s="149">
        <v>0.8</v>
      </c>
      <c r="P8" s="149">
        <v>4.8</v>
      </c>
      <c r="Q8" s="149">
        <v>6.9</v>
      </c>
      <c r="R8" s="149">
        <v>0.7</v>
      </c>
      <c r="S8" s="149">
        <v>4019</v>
      </c>
      <c r="U8" s="375" t="s">
        <v>175</v>
      </c>
      <c r="V8" s="179"/>
      <c r="W8" s="179"/>
      <c r="X8" s="215" t="s">
        <v>176</v>
      </c>
      <c r="Y8" s="179"/>
      <c r="Z8" s="179" t="s">
        <v>177</v>
      </c>
      <c r="AA8" s="367"/>
    </row>
    <row r="9" spans="1:28">
      <c r="A9" s="150" t="s">
        <v>47</v>
      </c>
      <c r="B9" s="149" t="s">
        <v>51</v>
      </c>
      <c r="C9" s="149" t="s">
        <v>49</v>
      </c>
      <c r="D9" s="149">
        <v>2012</v>
      </c>
      <c r="E9" s="149">
        <v>2</v>
      </c>
      <c r="F9" s="149" t="s">
        <v>55</v>
      </c>
      <c r="G9" s="149">
        <v>65.3</v>
      </c>
      <c r="H9" s="149">
        <v>0.4</v>
      </c>
      <c r="I9" s="149">
        <v>1.1000000000000001</v>
      </c>
      <c r="J9" s="149">
        <v>6.3</v>
      </c>
      <c r="K9" s="149">
        <v>0.5</v>
      </c>
      <c r="L9" s="149">
        <v>1.9</v>
      </c>
      <c r="M9" s="149">
        <v>14.4</v>
      </c>
      <c r="N9" s="149">
        <v>0</v>
      </c>
      <c r="O9" s="149">
        <v>0.9</v>
      </c>
      <c r="P9" s="149">
        <v>4.3</v>
      </c>
      <c r="Q9" s="149">
        <v>4.5999999999999996</v>
      </c>
      <c r="R9" s="149">
        <v>0.2</v>
      </c>
      <c r="S9" s="149">
        <v>4632</v>
      </c>
      <c r="U9" s="375" t="s">
        <v>178</v>
      </c>
      <c r="V9" s="179"/>
      <c r="W9" s="179"/>
      <c r="X9" s="215" t="s">
        <v>179</v>
      </c>
      <c r="Y9" s="215" t="s">
        <v>180</v>
      </c>
      <c r="Z9" s="215" t="s">
        <v>181</v>
      </c>
      <c r="AA9" s="367"/>
    </row>
    <row r="10" spans="1:28" ht="15.75" thickBot="1">
      <c r="A10" s="150" t="s">
        <v>47</v>
      </c>
      <c r="B10" s="149" t="s">
        <v>51</v>
      </c>
      <c r="C10" s="149" t="s">
        <v>49</v>
      </c>
      <c r="D10" s="149">
        <v>2012</v>
      </c>
      <c r="E10" s="149">
        <v>5</v>
      </c>
      <c r="F10" s="149" t="s">
        <v>55</v>
      </c>
      <c r="G10" s="149">
        <v>58.6</v>
      </c>
      <c r="H10" s="149">
        <v>0.3</v>
      </c>
      <c r="I10" s="149">
        <v>1.3</v>
      </c>
      <c r="J10" s="149">
        <v>5.8</v>
      </c>
      <c r="K10" s="149">
        <v>0.5</v>
      </c>
      <c r="L10" s="149">
        <v>2</v>
      </c>
      <c r="M10" s="149">
        <v>18.5</v>
      </c>
      <c r="N10" s="149">
        <v>0.1</v>
      </c>
      <c r="O10" s="149">
        <v>0.6</v>
      </c>
      <c r="P10" s="149">
        <v>5.6</v>
      </c>
      <c r="Q10" s="149">
        <v>6</v>
      </c>
      <c r="R10" s="149">
        <v>0.6</v>
      </c>
      <c r="S10" s="149">
        <v>3851</v>
      </c>
      <c r="U10" s="282" t="s">
        <v>182</v>
      </c>
      <c r="V10" s="284"/>
      <c r="W10" s="284"/>
      <c r="X10" s="285" t="s">
        <v>183</v>
      </c>
      <c r="Y10" s="285" t="s">
        <v>184</v>
      </c>
      <c r="Z10" s="285" t="s">
        <v>185</v>
      </c>
      <c r="AA10" s="376" t="s">
        <v>186</v>
      </c>
      <c r="AB10" s="176"/>
    </row>
    <row r="11" spans="1:28">
      <c r="A11" s="150" t="s">
        <v>47</v>
      </c>
      <c r="B11" s="149" t="s">
        <v>51</v>
      </c>
      <c r="C11" s="149" t="s">
        <v>49</v>
      </c>
      <c r="D11" s="149">
        <v>2012</v>
      </c>
      <c r="E11" s="149">
        <v>7</v>
      </c>
      <c r="F11" s="149" t="s">
        <v>55</v>
      </c>
      <c r="G11" s="149">
        <v>61</v>
      </c>
      <c r="H11" s="149">
        <v>0.3</v>
      </c>
      <c r="I11" s="149">
        <v>1</v>
      </c>
      <c r="J11" s="149">
        <v>5.4</v>
      </c>
      <c r="K11" s="149">
        <v>0.5</v>
      </c>
      <c r="L11" s="149">
        <v>2.9</v>
      </c>
      <c r="M11" s="149">
        <v>17.5</v>
      </c>
      <c r="N11" s="149">
        <v>0.1</v>
      </c>
      <c r="O11" s="149">
        <v>0.7</v>
      </c>
      <c r="P11" s="149">
        <v>4.5</v>
      </c>
      <c r="Q11" s="149">
        <v>5.4</v>
      </c>
      <c r="R11" s="149">
        <v>0.7</v>
      </c>
      <c r="S11" s="149">
        <v>4591</v>
      </c>
    </row>
    <row r="12" spans="1:28">
      <c r="A12" s="150" t="s">
        <v>47</v>
      </c>
      <c r="B12" s="149" t="s">
        <v>51</v>
      </c>
      <c r="C12" s="149" t="s">
        <v>49</v>
      </c>
      <c r="D12" s="149">
        <v>2012</v>
      </c>
      <c r="E12" s="149">
        <v>9</v>
      </c>
      <c r="F12" s="149" t="s">
        <v>55</v>
      </c>
      <c r="G12" s="149">
        <v>63</v>
      </c>
      <c r="H12" s="149">
        <v>0.3</v>
      </c>
      <c r="I12" s="149">
        <v>1.5</v>
      </c>
      <c r="J12" s="149">
        <v>6.9</v>
      </c>
      <c r="K12" s="149">
        <v>0.4</v>
      </c>
      <c r="L12" s="149">
        <v>1.8</v>
      </c>
      <c r="M12" s="149">
        <v>13.3</v>
      </c>
      <c r="N12" s="149">
        <v>0.1</v>
      </c>
      <c r="O12" s="149">
        <v>0.6</v>
      </c>
      <c r="P12" s="149">
        <v>5.4</v>
      </c>
      <c r="Q12" s="149">
        <v>6.1</v>
      </c>
      <c r="R12" s="149">
        <v>0.7</v>
      </c>
      <c r="S12" s="149">
        <v>3710</v>
      </c>
      <c r="W12" t="s">
        <v>194</v>
      </c>
      <c r="X12" s="176" t="s">
        <v>189</v>
      </c>
    </row>
    <row r="13" spans="1:28">
      <c r="A13" s="150" t="s">
        <v>47</v>
      </c>
      <c r="B13" s="149" t="s">
        <v>51</v>
      </c>
      <c r="C13" s="149" t="s">
        <v>49</v>
      </c>
      <c r="D13" s="149">
        <v>2010</v>
      </c>
      <c r="E13" s="149">
        <v>2</v>
      </c>
      <c r="F13" s="149" t="s">
        <v>55</v>
      </c>
      <c r="G13" s="149">
        <v>69.2</v>
      </c>
      <c r="H13" s="149">
        <v>0.3</v>
      </c>
      <c r="I13" s="149">
        <v>1.3</v>
      </c>
      <c r="J13" s="149">
        <v>7</v>
      </c>
      <c r="K13" s="149">
        <v>0.7</v>
      </c>
      <c r="L13" s="149">
        <v>1.8</v>
      </c>
      <c r="M13" s="149">
        <v>10.3</v>
      </c>
      <c r="N13" s="149">
        <v>0.1</v>
      </c>
      <c r="O13" s="149">
        <v>0.7</v>
      </c>
      <c r="P13" s="149">
        <v>4.2</v>
      </c>
      <c r="Q13" s="149">
        <v>4.2</v>
      </c>
      <c r="R13" s="149">
        <v>0.3</v>
      </c>
      <c r="S13" s="149">
        <v>3549</v>
      </c>
      <c r="W13" t="s">
        <v>193</v>
      </c>
      <c r="X13" s="176" t="s">
        <v>190</v>
      </c>
    </row>
    <row r="14" spans="1:28">
      <c r="A14" s="150" t="s">
        <v>47</v>
      </c>
      <c r="B14" s="149" t="s">
        <v>51</v>
      </c>
      <c r="C14" s="149" t="s">
        <v>49</v>
      </c>
      <c r="D14" s="149">
        <v>2008</v>
      </c>
      <c r="E14" s="149">
        <v>12</v>
      </c>
      <c r="F14" s="149" t="s">
        <v>55</v>
      </c>
      <c r="G14" s="149">
        <v>63</v>
      </c>
      <c r="H14" s="149">
        <v>0.4</v>
      </c>
      <c r="I14" s="149">
        <v>1.4</v>
      </c>
      <c r="J14" s="149">
        <v>6.4</v>
      </c>
      <c r="K14" s="149">
        <v>0.7</v>
      </c>
      <c r="L14" s="149">
        <v>2.9</v>
      </c>
      <c r="M14" s="149">
        <v>15.5</v>
      </c>
      <c r="N14" s="149">
        <v>0</v>
      </c>
      <c r="O14" s="149">
        <v>0.6</v>
      </c>
      <c r="P14" s="149">
        <v>4.8</v>
      </c>
      <c r="Q14" s="149">
        <v>3.9</v>
      </c>
      <c r="R14" s="149">
        <v>0.4</v>
      </c>
      <c r="S14" s="149">
        <v>3588</v>
      </c>
      <c r="W14" t="s">
        <v>192</v>
      </c>
      <c r="X14" s="176" t="s">
        <v>191</v>
      </c>
    </row>
    <row r="15" spans="1:28">
      <c r="A15" s="150" t="s">
        <v>47</v>
      </c>
      <c r="B15" s="149" t="s">
        <v>51</v>
      </c>
      <c r="C15" s="149" t="s">
        <v>49</v>
      </c>
      <c r="D15" s="149">
        <v>2007</v>
      </c>
      <c r="E15" s="149">
        <v>5</v>
      </c>
      <c r="F15" s="149" t="s">
        <v>55</v>
      </c>
      <c r="G15" s="149">
        <v>51</v>
      </c>
      <c r="H15" s="149">
        <v>0.5</v>
      </c>
      <c r="I15" s="149">
        <v>1.2</v>
      </c>
      <c r="J15" s="149">
        <v>6.7</v>
      </c>
      <c r="K15" s="149">
        <v>0.7</v>
      </c>
      <c r="L15" s="149">
        <v>2.9</v>
      </c>
      <c r="M15" s="149">
        <v>25.9</v>
      </c>
      <c r="N15" s="149">
        <v>0</v>
      </c>
      <c r="O15" s="149">
        <v>0.6</v>
      </c>
      <c r="P15" s="149">
        <v>5.9</v>
      </c>
      <c r="Q15" s="149">
        <v>4.2</v>
      </c>
      <c r="R15" s="149">
        <v>0.3</v>
      </c>
      <c r="S15" s="149">
        <v>3294</v>
      </c>
      <c r="W15" t="s">
        <v>195</v>
      </c>
      <c r="X15" s="176" t="s">
        <v>73</v>
      </c>
    </row>
    <row r="16" spans="1:28">
      <c r="A16" s="150" t="s">
        <v>47</v>
      </c>
      <c r="B16" s="149" t="s">
        <v>51</v>
      </c>
      <c r="C16" s="149" t="s">
        <v>49</v>
      </c>
      <c r="D16" s="149">
        <v>2007</v>
      </c>
      <c r="E16" s="149">
        <v>10</v>
      </c>
      <c r="F16" s="149" t="s">
        <v>55</v>
      </c>
      <c r="G16" s="149">
        <v>62.2</v>
      </c>
      <c r="H16" s="149">
        <v>0.4</v>
      </c>
      <c r="I16" s="149">
        <v>1.6</v>
      </c>
      <c r="J16" s="149">
        <v>7.3</v>
      </c>
      <c r="K16" s="149">
        <v>1.2</v>
      </c>
      <c r="L16" s="149">
        <v>2.4</v>
      </c>
      <c r="M16" s="149">
        <v>14.7</v>
      </c>
      <c r="N16" s="149">
        <v>0.1</v>
      </c>
      <c r="O16" s="149">
        <v>0.7</v>
      </c>
      <c r="P16" s="149">
        <v>4.4000000000000004</v>
      </c>
      <c r="Q16" s="149">
        <v>4.8</v>
      </c>
      <c r="R16" s="149">
        <v>0.3</v>
      </c>
      <c r="S16" s="149">
        <v>3110</v>
      </c>
    </row>
    <row r="17" spans="1:19">
      <c r="A17" s="150" t="s">
        <v>47</v>
      </c>
      <c r="B17" s="149" t="s">
        <v>51</v>
      </c>
      <c r="C17" s="149" t="s">
        <v>49</v>
      </c>
      <c r="D17" s="149">
        <v>2007</v>
      </c>
      <c r="E17" s="149">
        <v>12</v>
      </c>
      <c r="F17" s="149" t="s">
        <v>55</v>
      </c>
      <c r="G17" s="149">
        <v>65.599999999999994</v>
      </c>
      <c r="H17" s="149">
        <v>0.2</v>
      </c>
      <c r="I17" s="149">
        <v>1.3</v>
      </c>
      <c r="J17" s="149">
        <v>7.2</v>
      </c>
      <c r="K17" s="149">
        <v>0.6</v>
      </c>
      <c r="L17" s="149">
        <v>2.4</v>
      </c>
      <c r="M17" s="149">
        <v>13.1</v>
      </c>
      <c r="N17" s="149">
        <v>0.1</v>
      </c>
      <c r="O17" s="149">
        <v>0.4</v>
      </c>
      <c r="P17" s="149">
        <v>4.4000000000000004</v>
      </c>
      <c r="Q17" s="149">
        <v>4.4000000000000004</v>
      </c>
      <c r="R17" s="149">
        <v>0.4</v>
      </c>
      <c r="S17" s="149">
        <v>3511</v>
      </c>
    </row>
    <row r="18" spans="1:19" ht="5.25" customHeight="1">
      <c r="A18" s="151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3"/>
    </row>
    <row r="19" spans="1:19">
      <c r="A19" s="150" t="s">
        <v>54</v>
      </c>
      <c r="B19" s="149" t="s">
        <v>75</v>
      </c>
      <c r="C19" s="149" t="s">
        <v>76</v>
      </c>
      <c r="D19" s="149">
        <v>2023</v>
      </c>
      <c r="E19" s="149">
        <v>6</v>
      </c>
      <c r="F19" s="149" t="s">
        <v>55</v>
      </c>
      <c r="G19" s="149">
        <v>75.8</v>
      </c>
      <c r="H19" s="149">
        <v>0.4</v>
      </c>
      <c r="I19" s="149">
        <v>0.6</v>
      </c>
      <c r="J19" s="149">
        <v>7.2</v>
      </c>
      <c r="K19" s="149">
        <v>0.8</v>
      </c>
      <c r="L19" s="149">
        <v>0.8</v>
      </c>
      <c r="M19" s="149">
        <v>5.2</v>
      </c>
      <c r="N19" s="149">
        <v>1.9</v>
      </c>
      <c r="O19" s="149">
        <v>0.4</v>
      </c>
      <c r="P19" s="149">
        <v>3.8</v>
      </c>
      <c r="Q19" s="149">
        <v>2.6</v>
      </c>
      <c r="R19" s="149">
        <v>0.4</v>
      </c>
      <c r="S19" s="149">
        <v>3231</v>
      </c>
    </row>
    <row r="20" spans="1:19">
      <c r="A20" s="150" t="s">
        <v>48</v>
      </c>
      <c r="B20" s="149" t="s">
        <v>49</v>
      </c>
      <c r="C20" s="149" t="s">
        <v>52</v>
      </c>
      <c r="D20" s="149">
        <v>2020</v>
      </c>
      <c r="E20" s="149">
        <v>11</v>
      </c>
      <c r="F20" s="149" t="s">
        <v>55</v>
      </c>
      <c r="G20" s="149">
        <v>72.5</v>
      </c>
      <c r="H20" s="149">
        <v>0.3</v>
      </c>
      <c r="I20" s="149">
        <v>0.2</v>
      </c>
      <c r="J20" s="149">
        <v>8.8000000000000007</v>
      </c>
      <c r="K20" s="149">
        <v>0.7</v>
      </c>
      <c r="L20" s="149">
        <v>1.1000000000000001</v>
      </c>
      <c r="M20" s="149">
        <v>8.1999999999999993</v>
      </c>
      <c r="N20" s="149">
        <v>0.4</v>
      </c>
      <c r="O20" s="149">
        <v>0.4</v>
      </c>
      <c r="P20" s="149">
        <v>4.3</v>
      </c>
      <c r="Q20" s="149">
        <v>3</v>
      </c>
      <c r="R20" s="149">
        <v>0.2</v>
      </c>
      <c r="S20" s="149">
        <v>2710</v>
      </c>
    </row>
    <row r="21" spans="1:19">
      <c r="A21" s="150" t="s">
        <v>48</v>
      </c>
      <c r="B21" s="149" t="s">
        <v>49</v>
      </c>
      <c r="C21" s="149" t="s">
        <v>52</v>
      </c>
      <c r="D21" s="149">
        <v>2019</v>
      </c>
      <c r="E21" s="149">
        <v>10</v>
      </c>
      <c r="F21" s="149" t="s">
        <v>55</v>
      </c>
      <c r="G21" s="149">
        <v>77.3</v>
      </c>
      <c r="H21" s="149">
        <v>0.5</v>
      </c>
      <c r="I21" s="149">
        <v>1.4</v>
      </c>
      <c r="J21" s="149">
        <v>7.6</v>
      </c>
      <c r="K21" s="149">
        <v>0.5</v>
      </c>
      <c r="L21" s="149">
        <v>0.9</v>
      </c>
      <c r="M21" s="149">
        <v>5.3</v>
      </c>
      <c r="N21" s="149">
        <v>0.1</v>
      </c>
      <c r="O21" s="149">
        <v>0.6</v>
      </c>
      <c r="P21" s="149">
        <v>3.6</v>
      </c>
      <c r="Q21" s="149">
        <v>2</v>
      </c>
      <c r="R21" s="149">
        <v>0.1</v>
      </c>
      <c r="S21" s="149">
        <v>2889</v>
      </c>
    </row>
    <row r="22" spans="1:19">
      <c r="A22" s="150" t="s">
        <v>48</v>
      </c>
      <c r="B22" s="149" t="s">
        <v>49</v>
      </c>
      <c r="C22" s="149" t="s">
        <v>52</v>
      </c>
      <c r="D22" s="149">
        <v>2018</v>
      </c>
      <c r="E22" s="149">
        <v>3</v>
      </c>
      <c r="F22" s="149" t="s">
        <v>55</v>
      </c>
      <c r="G22" s="149">
        <v>75.7</v>
      </c>
      <c r="H22" s="149">
        <v>0.4</v>
      </c>
      <c r="I22" s="149">
        <v>1.2</v>
      </c>
      <c r="J22" s="149">
        <v>8.1999999999999993</v>
      </c>
      <c r="K22" s="149">
        <v>0.5</v>
      </c>
      <c r="L22" s="149">
        <v>0.8</v>
      </c>
      <c r="M22" s="149">
        <v>5.7</v>
      </c>
      <c r="N22" s="149">
        <v>0.1</v>
      </c>
      <c r="O22" s="149">
        <v>0.3</v>
      </c>
      <c r="P22" s="149">
        <v>4</v>
      </c>
      <c r="Q22" s="149">
        <v>2.9</v>
      </c>
      <c r="R22" s="149">
        <v>0.3</v>
      </c>
      <c r="S22" s="149">
        <v>3137</v>
      </c>
    </row>
    <row r="23" spans="1:19">
      <c r="A23" s="150" t="s">
        <v>48</v>
      </c>
      <c r="B23" s="149" t="s">
        <v>49</v>
      </c>
      <c r="C23" s="149" t="s">
        <v>52</v>
      </c>
      <c r="D23" s="149">
        <v>2018</v>
      </c>
      <c r="E23" s="149">
        <v>8</v>
      </c>
      <c r="F23" s="149" t="s">
        <v>55</v>
      </c>
      <c r="G23" s="149">
        <v>75.5</v>
      </c>
      <c r="H23" s="149">
        <v>0.4</v>
      </c>
      <c r="I23" s="149">
        <v>0.9</v>
      </c>
      <c r="J23" s="149">
        <v>8.1999999999999993</v>
      </c>
      <c r="K23" s="149">
        <v>0.5</v>
      </c>
      <c r="L23" s="149">
        <v>0.8</v>
      </c>
      <c r="M23" s="149">
        <v>6.4</v>
      </c>
      <c r="N23" s="149">
        <v>0</v>
      </c>
      <c r="O23" s="149">
        <v>0.3</v>
      </c>
      <c r="P23" s="149">
        <v>4</v>
      </c>
      <c r="Q23" s="149">
        <v>2.9</v>
      </c>
      <c r="R23" s="149">
        <v>0</v>
      </c>
      <c r="S23" s="149">
        <v>3051</v>
      </c>
    </row>
    <row r="24" spans="1:19">
      <c r="A24" s="150" t="s">
        <v>48</v>
      </c>
      <c r="B24" s="149" t="s">
        <v>49</v>
      </c>
      <c r="C24" s="149" t="s">
        <v>52</v>
      </c>
      <c r="D24" s="149">
        <v>2017</v>
      </c>
      <c r="E24" s="149">
        <v>4</v>
      </c>
      <c r="F24" s="149" t="s">
        <v>55</v>
      </c>
      <c r="G24" s="149">
        <v>77</v>
      </c>
      <c r="H24" s="149">
        <v>0.3</v>
      </c>
      <c r="I24" s="149">
        <v>1.4</v>
      </c>
      <c r="J24" s="149">
        <v>6.8</v>
      </c>
      <c r="K24" s="149">
        <v>0.5</v>
      </c>
      <c r="L24" s="149">
        <v>0.7</v>
      </c>
      <c r="M24" s="149">
        <v>6.7</v>
      </c>
      <c r="N24" s="149">
        <v>0</v>
      </c>
      <c r="O24" s="149">
        <v>0.5</v>
      </c>
      <c r="P24" s="149">
        <v>3.4</v>
      </c>
      <c r="Q24" s="149">
        <v>2.6</v>
      </c>
      <c r="R24" s="149">
        <v>0.1</v>
      </c>
      <c r="S24" s="149">
        <v>3154</v>
      </c>
    </row>
    <row r="25" spans="1:19">
      <c r="A25" s="150" t="s">
        <v>48</v>
      </c>
      <c r="B25" s="149" t="s">
        <v>49</v>
      </c>
      <c r="C25" s="149" t="s">
        <v>52</v>
      </c>
      <c r="D25" s="149">
        <v>2017</v>
      </c>
      <c r="E25" s="149">
        <v>12</v>
      </c>
      <c r="F25" s="149" t="s">
        <v>55</v>
      </c>
      <c r="G25" s="149">
        <v>75.099999999999994</v>
      </c>
      <c r="H25" s="149">
        <v>0.3</v>
      </c>
      <c r="I25" s="149">
        <v>0.9</v>
      </c>
      <c r="J25" s="149">
        <v>7.9</v>
      </c>
      <c r="K25" s="149">
        <v>0.6</v>
      </c>
      <c r="L25" s="149">
        <v>1.1000000000000001</v>
      </c>
      <c r="M25" s="149">
        <v>6.9</v>
      </c>
      <c r="N25" s="149">
        <v>0.1</v>
      </c>
      <c r="O25" s="149">
        <v>0.5</v>
      </c>
      <c r="P25" s="149">
        <v>3.7</v>
      </c>
      <c r="Q25" s="149">
        <v>2.9</v>
      </c>
      <c r="R25" s="149">
        <v>0.2</v>
      </c>
      <c r="S25" s="149">
        <v>3388</v>
      </c>
    </row>
    <row r="26" spans="1:19">
      <c r="A26" s="150" t="s">
        <v>48</v>
      </c>
      <c r="B26" s="149" t="s">
        <v>49</v>
      </c>
      <c r="C26" s="149" t="s">
        <v>52</v>
      </c>
      <c r="D26" s="149">
        <v>2016</v>
      </c>
      <c r="E26" s="149">
        <v>6</v>
      </c>
      <c r="F26" s="149" t="s">
        <v>55</v>
      </c>
      <c r="G26" s="149">
        <v>70</v>
      </c>
      <c r="H26" s="149">
        <v>0.7</v>
      </c>
      <c r="I26" s="149">
        <v>1.2</v>
      </c>
      <c r="J26" s="149">
        <v>8.4</v>
      </c>
      <c r="K26" s="149">
        <v>0.3</v>
      </c>
      <c r="L26" s="149">
        <v>1.8</v>
      </c>
      <c r="M26" s="149">
        <v>8</v>
      </c>
      <c r="N26" s="149">
        <v>0</v>
      </c>
      <c r="O26" s="149">
        <v>1.1000000000000001</v>
      </c>
      <c r="P26" s="149">
        <v>4.5999999999999996</v>
      </c>
      <c r="Q26" s="149">
        <v>3.4</v>
      </c>
      <c r="R26" s="149">
        <v>0.3</v>
      </c>
      <c r="S26" s="149">
        <v>3072</v>
      </c>
    </row>
    <row r="27" spans="1:19">
      <c r="A27" s="150" t="s">
        <v>48</v>
      </c>
      <c r="B27" s="149" t="s">
        <v>49</v>
      </c>
      <c r="C27" s="149" t="s">
        <v>52</v>
      </c>
      <c r="D27" s="149">
        <v>2015</v>
      </c>
      <c r="E27" s="149">
        <v>5</v>
      </c>
      <c r="F27" s="149" t="s">
        <v>55</v>
      </c>
      <c r="G27" s="149">
        <v>72.900000000000006</v>
      </c>
      <c r="H27" s="149">
        <v>0.2</v>
      </c>
      <c r="I27" s="149">
        <v>1.5</v>
      </c>
      <c r="J27" s="149">
        <v>7.9</v>
      </c>
      <c r="K27" s="149">
        <v>0.3</v>
      </c>
      <c r="L27" s="149">
        <v>1.3</v>
      </c>
      <c r="M27" s="149">
        <v>7.2</v>
      </c>
      <c r="N27" s="149">
        <v>0.1</v>
      </c>
      <c r="O27" s="149">
        <v>0.8</v>
      </c>
      <c r="P27" s="149">
        <v>4.5999999999999996</v>
      </c>
      <c r="Q27" s="149">
        <v>3</v>
      </c>
      <c r="R27" s="149">
        <v>0.2</v>
      </c>
      <c r="S27" s="149">
        <v>3184</v>
      </c>
    </row>
    <row r="28" spans="1:19">
      <c r="A28" s="150" t="s">
        <v>48</v>
      </c>
      <c r="B28" s="149" t="s">
        <v>49</v>
      </c>
      <c r="C28" s="149" t="s">
        <v>52</v>
      </c>
      <c r="D28" s="149">
        <v>2015</v>
      </c>
      <c r="E28" s="149">
        <v>9</v>
      </c>
      <c r="F28" s="149" t="s">
        <v>55</v>
      </c>
      <c r="G28" s="149">
        <v>73.099999999999994</v>
      </c>
      <c r="H28" s="149">
        <v>0.3</v>
      </c>
      <c r="I28" s="149">
        <v>1.3</v>
      </c>
      <c r="J28" s="149">
        <v>8.3000000000000007</v>
      </c>
      <c r="K28" s="149">
        <v>0.4</v>
      </c>
      <c r="L28" s="149">
        <v>1.1000000000000001</v>
      </c>
      <c r="M28" s="149">
        <v>7.2</v>
      </c>
      <c r="N28" s="149">
        <v>0.1</v>
      </c>
      <c r="O28" s="149">
        <v>0.5</v>
      </c>
      <c r="P28" s="149">
        <v>4.0999999999999996</v>
      </c>
      <c r="Q28" s="149">
        <v>3.5</v>
      </c>
      <c r="R28" s="149">
        <v>0.2</v>
      </c>
      <c r="S28" s="149">
        <v>3270</v>
      </c>
    </row>
    <row r="29" spans="1:19">
      <c r="A29" s="150" t="s">
        <v>48</v>
      </c>
      <c r="B29" s="149" t="s">
        <v>49</v>
      </c>
      <c r="C29" s="149" t="s">
        <v>52</v>
      </c>
      <c r="D29" s="149">
        <v>2014</v>
      </c>
      <c r="E29" s="149">
        <v>6</v>
      </c>
      <c r="F29" s="149" t="s">
        <v>55</v>
      </c>
      <c r="G29" s="149">
        <v>71.900000000000006</v>
      </c>
      <c r="H29" s="149">
        <v>0.4</v>
      </c>
      <c r="I29" s="149">
        <v>1.3</v>
      </c>
      <c r="J29" s="149">
        <v>8.4</v>
      </c>
      <c r="K29" s="149">
        <v>0.4</v>
      </c>
      <c r="L29" s="149">
        <v>1.1000000000000001</v>
      </c>
      <c r="M29" s="149">
        <v>9.1999999999999993</v>
      </c>
      <c r="N29" s="149">
        <v>0.1</v>
      </c>
      <c r="O29" s="149">
        <v>0.5</v>
      </c>
      <c r="P29" s="149">
        <v>3.8</v>
      </c>
      <c r="Q29" s="149">
        <v>2.8</v>
      </c>
      <c r="R29" s="149">
        <v>0.1</v>
      </c>
      <c r="S29" s="149">
        <v>2899</v>
      </c>
    </row>
    <row r="30" spans="1:19">
      <c r="A30" s="150" t="s">
        <v>48</v>
      </c>
      <c r="B30" s="149" t="s">
        <v>49</v>
      </c>
      <c r="C30" s="149" t="s">
        <v>52</v>
      </c>
      <c r="D30" s="149">
        <v>2014</v>
      </c>
      <c r="E30" s="149">
        <v>8</v>
      </c>
      <c r="F30" s="149" t="s">
        <v>55</v>
      </c>
      <c r="G30" s="149">
        <v>75.7</v>
      </c>
      <c r="H30" s="149">
        <v>0.2</v>
      </c>
      <c r="I30" s="149">
        <v>1.1000000000000001</v>
      </c>
      <c r="J30" s="149">
        <v>7.6</v>
      </c>
      <c r="K30" s="149">
        <v>0.3</v>
      </c>
      <c r="L30" s="149">
        <v>1.2</v>
      </c>
      <c r="M30" s="149">
        <v>8</v>
      </c>
      <c r="N30" s="149">
        <v>0</v>
      </c>
      <c r="O30" s="149">
        <v>0.4</v>
      </c>
      <c r="P30" s="149">
        <v>3.1</v>
      </c>
      <c r="Q30" s="149">
        <v>2.2999999999999998</v>
      </c>
      <c r="R30" s="149">
        <v>0.1</v>
      </c>
      <c r="S30" s="149">
        <v>2976</v>
      </c>
    </row>
    <row r="31" spans="1:19">
      <c r="A31" s="150" t="s">
        <v>48</v>
      </c>
      <c r="B31" s="149" t="s">
        <v>49</v>
      </c>
      <c r="C31" s="149" t="s">
        <v>52</v>
      </c>
      <c r="D31" s="149">
        <v>2013</v>
      </c>
      <c r="E31" s="149">
        <v>5</v>
      </c>
      <c r="F31" s="149" t="s">
        <v>55</v>
      </c>
      <c r="G31" s="149">
        <v>73.2</v>
      </c>
      <c r="H31" s="149">
        <v>0.4</v>
      </c>
      <c r="I31" s="149">
        <v>1.2</v>
      </c>
      <c r="J31" s="149">
        <v>7</v>
      </c>
      <c r="K31" s="149">
        <v>0.5</v>
      </c>
      <c r="L31" s="149">
        <v>1.4</v>
      </c>
      <c r="M31" s="149">
        <v>9.1999999999999993</v>
      </c>
      <c r="N31" s="149">
        <v>0.2</v>
      </c>
      <c r="O31" s="149">
        <v>0.6</v>
      </c>
      <c r="P31" s="149">
        <v>3.6</v>
      </c>
      <c r="Q31" s="149">
        <v>2.7</v>
      </c>
      <c r="R31" s="149">
        <v>0.1</v>
      </c>
      <c r="S31" s="149">
        <v>3240</v>
      </c>
    </row>
    <row r="32" spans="1:19">
      <c r="A32" s="150" t="s">
        <v>48</v>
      </c>
      <c r="B32" s="149" t="s">
        <v>49</v>
      </c>
      <c r="C32" s="149" t="s">
        <v>52</v>
      </c>
      <c r="D32" s="149">
        <v>2013</v>
      </c>
      <c r="E32" s="149">
        <v>10</v>
      </c>
      <c r="F32" s="149" t="s">
        <v>55</v>
      </c>
      <c r="G32" s="149">
        <v>72.8</v>
      </c>
      <c r="H32" s="149">
        <v>0.4</v>
      </c>
      <c r="I32" s="149">
        <v>1.4</v>
      </c>
      <c r="J32" s="149">
        <v>8.5</v>
      </c>
      <c r="K32" s="149">
        <v>0.6</v>
      </c>
      <c r="L32" s="149">
        <v>1.1000000000000001</v>
      </c>
      <c r="M32" s="149">
        <v>7.4</v>
      </c>
      <c r="N32" s="149">
        <v>0.1</v>
      </c>
      <c r="O32" s="149">
        <v>0.6</v>
      </c>
      <c r="P32" s="149">
        <v>3.8</v>
      </c>
      <c r="Q32" s="149">
        <v>3.1</v>
      </c>
      <c r="R32" s="149">
        <v>0.1</v>
      </c>
      <c r="S32" s="149">
        <v>3198</v>
      </c>
    </row>
    <row r="33" spans="1:19">
      <c r="A33" s="150" t="s">
        <v>48</v>
      </c>
      <c r="B33" s="149" t="s">
        <v>49</v>
      </c>
      <c r="C33" s="149" t="s">
        <v>52</v>
      </c>
      <c r="D33" s="149">
        <v>2012</v>
      </c>
      <c r="E33" s="149">
        <v>2</v>
      </c>
      <c r="F33" s="149" t="s">
        <v>55</v>
      </c>
      <c r="G33" s="149">
        <v>74.900000000000006</v>
      </c>
      <c r="H33" s="149">
        <v>0.4</v>
      </c>
      <c r="I33" s="149">
        <v>1.3</v>
      </c>
      <c r="J33" s="149">
        <v>7.3</v>
      </c>
      <c r="K33" s="149">
        <v>0.5</v>
      </c>
      <c r="L33" s="149">
        <v>1.2</v>
      </c>
      <c r="M33" s="149">
        <v>6.9</v>
      </c>
      <c r="N33" s="149">
        <v>0.1</v>
      </c>
      <c r="O33" s="149">
        <v>0.5</v>
      </c>
      <c r="P33" s="149">
        <v>3.7</v>
      </c>
      <c r="Q33" s="149">
        <v>3</v>
      </c>
      <c r="R33" s="149">
        <v>0.1</v>
      </c>
      <c r="S33" s="149">
        <v>3262</v>
      </c>
    </row>
    <row r="34" spans="1:19">
      <c r="A34" s="150" t="s">
        <v>48</v>
      </c>
      <c r="B34" s="149" t="s">
        <v>49</v>
      </c>
      <c r="C34" s="149" t="s">
        <v>52</v>
      </c>
      <c r="D34" s="149">
        <v>2012</v>
      </c>
      <c r="E34" s="149">
        <v>9</v>
      </c>
      <c r="F34" s="149" t="s">
        <v>55</v>
      </c>
      <c r="G34" s="149">
        <v>76.3</v>
      </c>
      <c r="H34" s="149">
        <v>0.2</v>
      </c>
      <c r="I34" s="149">
        <v>1.3</v>
      </c>
      <c r="J34" s="149">
        <v>7.6</v>
      </c>
      <c r="K34" s="149">
        <v>0.4</v>
      </c>
      <c r="L34" s="149">
        <v>0.8</v>
      </c>
      <c r="M34" s="149">
        <v>7.1</v>
      </c>
      <c r="N34" s="149">
        <v>0.1</v>
      </c>
      <c r="O34" s="149">
        <v>0.4</v>
      </c>
      <c r="P34" s="149">
        <v>3.1</v>
      </c>
      <c r="Q34" s="149">
        <v>2.8</v>
      </c>
      <c r="R34" s="149">
        <v>0</v>
      </c>
      <c r="S34" s="149">
        <v>3131</v>
      </c>
    </row>
    <row r="35" spans="1:19">
      <c r="A35" s="150" t="s">
        <v>48</v>
      </c>
      <c r="B35" s="149" t="s">
        <v>49</v>
      </c>
      <c r="C35" s="149" t="s">
        <v>52</v>
      </c>
      <c r="D35" s="149">
        <v>2011</v>
      </c>
      <c r="E35" s="149">
        <v>5</v>
      </c>
      <c r="F35" s="149" t="s">
        <v>55</v>
      </c>
      <c r="G35" s="149">
        <v>71.3</v>
      </c>
      <c r="H35" s="149">
        <v>0.4</v>
      </c>
      <c r="I35" s="149">
        <v>1.4</v>
      </c>
      <c r="J35" s="149">
        <v>8.6</v>
      </c>
      <c r="K35" s="149">
        <v>0.8</v>
      </c>
      <c r="L35" s="149">
        <v>1</v>
      </c>
      <c r="M35" s="149">
        <v>10.199999999999999</v>
      </c>
      <c r="N35" s="149">
        <v>0.1</v>
      </c>
      <c r="O35" s="149">
        <v>0.6</v>
      </c>
      <c r="P35" s="149">
        <v>3.1</v>
      </c>
      <c r="Q35" s="149">
        <v>2.6</v>
      </c>
      <c r="R35" s="149">
        <v>0.1</v>
      </c>
      <c r="S35" s="149">
        <v>3034</v>
      </c>
    </row>
    <row r="36" spans="1:19">
      <c r="A36" s="150" t="s">
        <v>48</v>
      </c>
      <c r="B36" s="149" t="s">
        <v>49</v>
      </c>
      <c r="C36" s="149" t="s">
        <v>52</v>
      </c>
      <c r="D36" s="149">
        <v>2011</v>
      </c>
      <c r="E36" s="149">
        <v>12</v>
      </c>
      <c r="F36" s="149" t="s">
        <v>55</v>
      </c>
      <c r="G36" s="149">
        <v>73.2</v>
      </c>
      <c r="H36" s="149">
        <v>0.2</v>
      </c>
      <c r="I36" s="149">
        <v>1.1000000000000001</v>
      </c>
      <c r="J36" s="149">
        <v>7</v>
      </c>
      <c r="K36" s="149">
        <v>0.5</v>
      </c>
      <c r="L36" s="149">
        <v>1.3</v>
      </c>
      <c r="M36" s="149">
        <v>8.6</v>
      </c>
      <c r="N36" s="149">
        <v>0.1</v>
      </c>
      <c r="O36" s="149">
        <v>0.7</v>
      </c>
      <c r="P36" s="149">
        <v>4</v>
      </c>
      <c r="Q36" s="149">
        <v>3.1</v>
      </c>
      <c r="R36" s="149">
        <v>0.1</v>
      </c>
      <c r="S36" s="149">
        <v>3424</v>
      </c>
    </row>
    <row r="37" spans="1:19">
      <c r="A37" s="150" t="s">
        <v>48</v>
      </c>
      <c r="B37" s="149" t="s">
        <v>49</v>
      </c>
      <c r="C37" s="149" t="s">
        <v>52</v>
      </c>
      <c r="D37" s="149">
        <v>2010</v>
      </c>
      <c r="E37" s="149">
        <v>2</v>
      </c>
      <c r="F37" s="149" t="s">
        <v>55</v>
      </c>
      <c r="G37" s="149">
        <v>75.3</v>
      </c>
      <c r="H37" s="149">
        <v>0.2</v>
      </c>
      <c r="I37" s="149">
        <v>1.3</v>
      </c>
      <c r="J37" s="149">
        <v>7.7</v>
      </c>
      <c r="K37" s="149">
        <v>0.6</v>
      </c>
      <c r="L37" s="149">
        <v>1</v>
      </c>
      <c r="M37" s="149">
        <v>7.5</v>
      </c>
      <c r="N37" s="149">
        <v>0.1</v>
      </c>
      <c r="O37" s="149">
        <v>0.5</v>
      </c>
      <c r="P37" s="149">
        <v>3.4</v>
      </c>
      <c r="Q37" s="149">
        <v>2.4</v>
      </c>
      <c r="R37" s="149">
        <v>0.1</v>
      </c>
      <c r="S37" s="149">
        <v>2939</v>
      </c>
    </row>
    <row r="38" spans="1:19">
      <c r="A38" s="150" t="s">
        <v>48</v>
      </c>
      <c r="B38" s="149" t="s">
        <v>49</v>
      </c>
      <c r="C38" s="149" t="s">
        <v>52</v>
      </c>
      <c r="D38" s="149">
        <v>2010</v>
      </c>
      <c r="E38" s="149">
        <v>12</v>
      </c>
      <c r="F38" s="149" t="s">
        <v>55</v>
      </c>
      <c r="G38" s="149">
        <v>75.099999999999994</v>
      </c>
      <c r="H38" s="149">
        <v>0.3</v>
      </c>
      <c r="I38" s="149">
        <v>1.1000000000000001</v>
      </c>
      <c r="J38" s="149">
        <v>6.7</v>
      </c>
      <c r="K38" s="149">
        <v>0.6</v>
      </c>
      <c r="L38" s="149">
        <v>1.2</v>
      </c>
      <c r="M38" s="149">
        <v>8.9</v>
      </c>
      <c r="N38" s="149">
        <v>0.1</v>
      </c>
      <c r="O38" s="149">
        <v>0.5</v>
      </c>
      <c r="P38" s="149">
        <v>3</v>
      </c>
      <c r="Q38" s="149">
        <v>2.5</v>
      </c>
      <c r="R38" s="149">
        <v>0.1</v>
      </c>
      <c r="S38" s="149">
        <v>2958</v>
      </c>
    </row>
    <row r="39" spans="1:19">
      <c r="A39" s="150" t="s">
        <v>48</v>
      </c>
      <c r="B39" s="149" t="s">
        <v>49</v>
      </c>
      <c r="C39" s="149" t="s">
        <v>52</v>
      </c>
      <c r="D39" s="149">
        <v>2009</v>
      </c>
      <c r="E39" s="149">
        <v>4</v>
      </c>
      <c r="F39" s="149" t="s">
        <v>55</v>
      </c>
      <c r="G39" s="149">
        <v>68.099999999999994</v>
      </c>
      <c r="H39" s="149">
        <v>2.6</v>
      </c>
      <c r="I39" s="149">
        <v>2</v>
      </c>
      <c r="J39" s="149">
        <v>10</v>
      </c>
      <c r="K39" s="149">
        <v>0.5</v>
      </c>
      <c r="L39" s="149">
        <v>1.7</v>
      </c>
      <c r="M39" s="149">
        <v>7.6</v>
      </c>
      <c r="N39" s="149">
        <v>0</v>
      </c>
      <c r="O39" s="149">
        <v>0.8</v>
      </c>
      <c r="P39" s="149">
        <v>3.4</v>
      </c>
      <c r="Q39" s="149">
        <v>2.9</v>
      </c>
      <c r="R39" s="149">
        <v>0.2</v>
      </c>
      <c r="S39" s="149">
        <v>2498</v>
      </c>
    </row>
    <row r="40" spans="1:19">
      <c r="A40" s="150" t="s">
        <v>48</v>
      </c>
      <c r="B40" s="149" t="s">
        <v>49</v>
      </c>
      <c r="C40" s="149" t="s">
        <v>52</v>
      </c>
      <c r="D40" s="149">
        <v>2009</v>
      </c>
      <c r="E40" s="149">
        <v>10</v>
      </c>
      <c r="F40" s="149" t="s">
        <v>55</v>
      </c>
      <c r="G40" s="149">
        <v>72</v>
      </c>
      <c r="H40" s="149">
        <v>0.3</v>
      </c>
      <c r="I40" s="149">
        <v>1.4</v>
      </c>
      <c r="J40" s="149">
        <v>7.7</v>
      </c>
      <c r="K40" s="149">
        <v>1</v>
      </c>
      <c r="L40" s="149">
        <v>1.7</v>
      </c>
      <c r="M40" s="149">
        <v>9.3000000000000007</v>
      </c>
      <c r="N40" s="149">
        <v>0</v>
      </c>
      <c r="O40" s="149">
        <v>0.5</v>
      </c>
      <c r="P40" s="149">
        <v>3.2</v>
      </c>
      <c r="Q40" s="149">
        <v>2.7</v>
      </c>
      <c r="R40" s="149">
        <v>0.1</v>
      </c>
      <c r="S40" s="149">
        <v>2822</v>
      </c>
    </row>
    <row r="41" spans="1:19">
      <c r="A41" s="150" t="s">
        <v>48</v>
      </c>
      <c r="B41" s="149" t="s">
        <v>49</v>
      </c>
      <c r="C41" s="149" t="s">
        <v>52</v>
      </c>
      <c r="D41" s="149">
        <v>2008</v>
      </c>
      <c r="E41" s="149">
        <v>3</v>
      </c>
      <c r="F41" s="149" t="s">
        <v>55</v>
      </c>
      <c r="G41" s="149">
        <v>70.2</v>
      </c>
      <c r="H41" s="149">
        <v>0.3</v>
      </c>
      <c r="I41" s="149">
        <v>1.4</v>
      </c>
      <c r="J41" s="149">
        <v>8.1999999999999993</v>
      </c>
      <c r="K41" s="149">
        <v>0.9</v>
      </c>
      <c r="L41" s="149">
        <v>1.9</v>
      </c>
      <c r="M41" s="149">
        <v>9.5</v>
      </c>
      <c r="N41" s="149">
        <v>0.1</v>
      </c>
      <c r="O41" s="149">
        <v>0.4</v>
      </c>
      <c r="P41" s="149">
        <v>3.5</v>
      </c>
      <c r="Q41" s="149">
        <v>3.4</v>
      </c>
      <c r="R41" s="149">
        <v>0.3</v>
      </c>
      <c r="S41" s="149">
        <v>2647</v>
      </c>
    </row>
  </sheetData>
  <phoneticPr fontId="24" type="noConversion"/>
  <pageMargins left="0.7" right="0.7" top="0.75" bottom="0.75" header="0.3" footer="0.3"/>
  <pageSetup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Z41"/>
  <sheetViews>
    <sheetView topLeftCell="A10" zoomScaleNormal="100" workbookViewId="0">
      <selection activeCell="E44" sqref="E44"/>
    </sheetView>
  </sheetViews>
  <sheetFormatPr baseColWidth="10" defaultRowHeight="15"/>
  <cols>
    <col min="3" max="3" width="38.7109375" customWidth="1"/>
    <col min="4" max="4" width="15.7109375" customWidth="1"/>
    <col min="5" max="5" width="13.28515625" customWidth="1"/>
    <col min="9" max="9" width="40.140625" bestFit="1" customWidth="1"/>
    <col min="10" max="11" width="8.28515625" bestFit="1" customWidth="1"/>
    <col min="12" max="12" width="6.42578125" bestFit="1" customWidth="1"/>
    <col min="13" max="13" width="6.28515625" bestFit="1" customWidth="1"/>
    <col min="14" max="14" width="7.85546875" bestFit="1" customWidth="1"/>
    <col min="15" max="15" width="9" bestFit="1" customWidth="1"/>
    <col min="16" max="20" width="7.7109375" bestFit="1" customWidth="1"/>
    <col min="21" max="21" width="9.28515625" bestFit="1" customWidth="1"/>
    <col min="22" max="26" width="7.7109375" bestFit="1" customWidth="1"/>
  </cols>
  <sheetData>
    <row r="3" spans="2:26" ht="25.5" customHeight="1">
      <c r="B3" s="226" t="s">
        <v>248</v>
      </c>
      <c r="C3" s="304" t="s">
        <v>2</v>
      </c>
      <c r="D3" s="304" t="s">
        <v>247</v>
      </c>
      <c r="E3" s="304" t="s">
        <v>246</v>
      </c>
      <c r="F3" s="304" t="s">
        <v>3</v>
      </c>
      <c r="G3" s="304" t="s">
        <v>19</v>
      </c>
      <c r="I3" s="145" t="s">
        <v>56</v>
      </c>
      <c r="J3" s="145" t="s">
        <v>57</v>
      </c>
      <c r="K3" s="145" t="s">
        <v>58</v>
      </c>
      <c r="L3" s="145" t="s">
        <v>59</v>
      </c>
      <c r="M3" s="145" t="s">
        <v>60</v>
      </c>
      <c r="N3" s="154" t="s">
        <v>61</v>
      </c>
      <c r="O3" s="145" t="s">
        <v>62</v>
      </c>
      <c r="P3" s="145" t="s">
        <v>63</v>
      </c>
      <c r="Q3" s="145" t="s">
        <v>64</v>
      </c>
      <c r="R3" s="145" t="s">
        <v>65</v>
      </c>
      <c r="S3" s="145" t="s">
        <v>66</v>
      </c>
      <c r="T3" s="145" t="s">
        <v>67</v>
      </c>
      <c r="U3" s="145" t="s">
        <v>68</v>
      </c>
      <c r="V3" s="145" t="s">
        <v>69</v>
      </c>
      <c r="W3" s="145" t="s">
        <v>70</v>
      </c>
      <c r="X3" s="145" t="s">
        <v>71</v>
      </c>
      <c r="Y3" s="145" t="s">
        <v>72</v>
      </c>
      <c r="Z3" s="145" t="s">
        <v>73</v>
      </c>
    </row>
    <row r="4" spans="2:26">
      <c r="B4" s="495" t="s">
        <v>105</v>
      </c>
      <c r="C4" s="321" t="s">
        <v>53</v>
      </c>
      <c r="D4" s="321">
        <v>307.41000000000003</v>
      </c>
      <c r="E4" s="321">
        <v>348.43</v>
      </c>
      <c r="F4" s="321">
        <v>4400</v>
      </c>
      <c r="G4" s="322">
        <v>2023</v>
      </c>
      <c r="I4" s="150" t="str">
        <f>+C24</f>
        <v>ACC.A NOGOYA (I) - INT.R.N.131 (I)</v>
      </c>
      <c r="J4" s="149" t="s">
        <v>75</v>
      </c>
      <c r="K4" s="149" t="s">
        <v>76</v>
      </c>
      <c r="L4" s="149">
        <v>2023</v>
      </c>
      <c r="M4" s="149">
        <v>6</v>
      </c>
      <c r="N4" s="149" t="s">
        <v>55</v>
      </c>
      <c r="O4" s="391">
        <v>0.75800000000000001</v>
      </c>
      <c r="P4" s="391">
        <v>4.0000000000000001E-3</v>
      </c>
      <c r="Q4" s="391">
        <v>6.0000000000000001E-3</v>
      </c>
      <c r="R4" s="391">
        <v>7.1999999999999995E-2</v>
      </c>
      <c r="S4" s="391">
        <v>8.0000000000000002E-3</v>
      </c>
      <c r="T4" s="391">
        <v>8.0000000000000002E-3</v>
      </c>
      <c r="U4" s="391">
        <v>5.1999999999999998E-2</v>
      </c>
      <c r="V4" s="391">
        <v>1.9E-2</v>
      </c>
      <c r="W4" s="391">
        <v>4.0000000000000001E-3</v>
      </c>
      <c r="X4" s="391">
        <v>3.7999999999999999E-2</v>
      </c>
      <c r="Y4" s="391">
        <v>2.5999999999999999E-2</v>
      </c>
      <c r="Z4" s="391">
        <v>4.0000000000000001E-3</v>
      </c>
    </row>
    <row r="5" spans="2:26">
      <c r="B5" s="495"/>
      <c r="C5" s="321" t="s">
        <v>53</v>
      </c>
      <c r="D5" s="321">
        <v>307.41000000000003</v>
      </c>
      <c r="E5" s="321">
        <v>348.43</v>
      </c>
      <c r="F5" s="321">
        <v>4300</v>
      </c>
      <c r="G5" s="322">
        <v>2022</v>
      </c>
      <c r="I5" s="150" t="str">
        <f>+C4</f>
        <v>INT.R.P.39 (D) - ACC.A NOGOYA (I)</v>
      </c>
      <c r="J5" s="149" t="s">
        <v>51</v>
      </c>
      <c r="K5" s="149" t="s">
        <v>49</v>
      </c>
      <c r="L5" s="149">
        <v>2018</v>
      </c>
      <c r="M5" s="149">
        <v>3</v>
      </c>
      <c r="N5" s="149" t="s">
        <v>55</v>
      </c>
      <c r="O5" s="391">
        <v>0.63100000000000001</v>
      </c>
      <c r="P5" s="391">
        <v>3.0000000000000001E-3</v>
      </c>
      <c r="Q5" s="391">
        <v>1.4E-2</v>
      </c>
      <c r="R5" s="391">
        <v>5.8000000000000003E-2</v>
      </c>
      <c r="S5" s="391">
        <v>8.0000000000000002E-3</v>
      </c>
      <c r="T5" s="391">
        <v>1.6E-2</v>
      </c>
      <c r="U5" s="391">
        <v>0.11</v>
      </c>
      <c r="V5" s="391">
        <v>1E-3</v>
      </c>
      <c r="W5" s="391">
        <v>8.9999999999999993E-3</v>
      </c>
      <c r="X5" s="391">
        <v>7.1999999999999995E-2</v>
      </c>
      <c r="Y5" s="391">
        <v>7.0999999999999994E-2</v>
      </c>
      <c r="Z5" s="391">
        <v>0.01</v>
      </c>
    </row>
    <row r="6" spans="2:26">
      <c r="B6" s="495"/>
      <c r="C6" s="321" t="s">
        <v>47</v>
      </c>
      <c r="D6" s="321">
        <v>317.54000000000002</v>
      </c>
      <c r="E6" s="321">
        <v>361.95</v>
      </c>
      <c r="F6" s="321">
        <v>3900</v>
      </c>
      <c r="G6" s="322">
        <v>2021</v>
      </c>
    </row>
    <row r="7" spans="2:26">
      <c r="B7" s="495"/>
      <c r="C7" s="321" t="s">
        <v>47</v>
      </c>
      <c r="D7" s="321">
        <v>317.54000000000002</v>
      </c>
      <c r="E7" s="321">
        <v>361.95</v>
      </c>
      <c r="F7" s="321">
        <v>2850</v>
      </c>
      <c r="G7" s="322">
        <v>2020</v>
      </c>
    </row>
    <row r="8" spans="2:26">
      <c r="B8" s="495"/>
      <c r="C8" s="321" t="s">
        <v>47</v>
      </c>
      <c r="D8" s="321">
        <v>317.54000000000002</v>
      </c>
      <c r="E8" s="321">
        <v>361.95</v>
      </c>
      <c r="F8" s="321">
        <v>4050</v>
      </c>
      <c r="G8" s="322">
        <v>2019</v>
      </c>
    </row>
    <row r="9" spans="2:26">
      <c r="B9" s="495"/>
      <c r="C9" s="321" t="s">
        <v>47</v>
      </c>
      <c r="D9" s="321">
        <v>317.54000000000002</v>
      </c>
      <c r="E9" s="321">
        <v>361.95</v>
      </c>
      <c r="F9" s="321">
        <v>4140</v>
      </c>
      <c r="G9" s="322">
        <v>2018</v>
      </c>
    </row>
    <row r="10" spans="2:26">
      <c r="B10" s="495"/>
      <c r="C10" s="321" t="s">
        <v>47</v>
      </c>
      <c r="D10" s="321">
        <v>317.54000000000002</v>
      </c>
      <c r="E10" s="321">
        <v>361.95</v>
      </c>
      <c r="F10" s="321">
        <v>4400</v>
      </c>
      <c r="G10" s="322">
        <v>2017</v>
      </c>
    </row>
    <row r="11" spans="2:26">
      <c r="B11" s="495"/>
      <c r="C11" s="321" t="s">
        <v>47</v>
      </c>
      <c r="D11" s="321">
        <v>317.54000000000002</v>
      </c>
      <c r="E11" s="321">
        <v>361.95</v>
      </c>
      <c r="F11" s="321">
        <v>2800</v>
      </c>
      <c r="G11" s="322">
        <v>2006</v>
      </c>
    </row>
    <row r="12" spans="2:26">
      <c r="B12" s="495"/>
      <c r="C12" s="321" t="s">
        <v>47</v>
      </c>
      <c r="D12" s="321" t="s">
        <v>51</v>
      </c>
      <c r="E12" s="321" t="s">
        <v>49</v>
      </c>
      <c r="F12" s="321">
        <v>4300</v>
      </c>
      <c r="G12" s="322">
        <v>2016</v>
      </c>
    </row>
    <row r="13" spans="2:26">
      <c r="B13" s="495"/>
      <c r="C13" s="321" t="s">
        <v>47</v>
      </c>
      <c r="D13" s="321" t="s">
        <v>51</v>
      </c>
      <c r="E13" s="321" t="s">
        <v>49</v>
      </c>
      <c r="F13" s="321">
        <v>4400</v>
      </c>
      <c r="G13" s="322">
        <v>2015</v>
      </c>
    </row>
    <row r="14" spans="2:26">
      <c r="B14" s="495"/>
      <c r="C14" s="321" t="s">
        <v>47</v>
      </c>
      <c r="D14" s="321" t="s">
        <v>51</v>
      </c>
      <c r="E14" s="321" t="s">
        <v>49</v>
      </c>
      <c r="F14" s="321">
        <v>4300</v>
      </c>
      <c r="G14" s="322">
        <v>2014</v>
      </c>
    </row>
    <row r="15" spans="2:26">
      <c r="B15" s="495"/>
      <c r="C15" s="321" t="s">
        <v>47</v>
      </c>
      <c r="D15" s="321" t="s">
        <v>51</v>
      </c>
      <c r="E15" s="321" t="s">
        <v>49</v>
      </c>
      <c r="F15" s="321">
        <v>4300</v>
      </c>
      <c r="G15" s="322">
        <v>2013</v>
      </c>
    </row>
    <row r="16" spans="2:26">
      <c r="B16" s="495"/>
      <c r="C16" s="321" t="s">
        <v>47</v>
      </c>
      <c r="D16" s="321" t="s">
        <v>51</v>
      </c>
      <c r="E16" s="321" t="s">
        <v>49</v>
      </c>
      <c r="F16" s="321">
        <v>4200</v>
      </c>
      <c r="G16" s="322">
        <v>2012</v>
      </c>
    </row>
    <row r="17" spans="2:7">
      <c r="B17" s="495"/>
      <c r="C17" s="321" t="s">
        <v>47</v>
      </c>
      <c r="D17" s="321" t="s">
        <v>51</v>
      </c>
      <c r="E17" s="321" t="s">
        <v>49</v>
      </c>
      <c r="F17" s="321">
        <v>3450</v>
      </c>
      <c r="G17" s="322">
        <v>2011</v>
      </c>
    </row>
    <row r="18" spans="2:7">
      <c r="B18" s="495"/>
      <c r="C18" s="321" t="s">
        <v>47</v>
      </c>
      <c r="D18" s="321" t="s">
        <v>51</v>
      </c>
      <c r="E18" s="321" t="s">
        <v>49</v>
      </c>
      <c r="F18" s="321">
        <v>3250</v>
      </c>
      <c r="G18" s="322">
        <v>2010</v>
      </c>
    </row>
    <row r="19" spans="2:7">
      <c r="B19" s="495"/>
      <c r="C19" s="321" t="s">
        <v>47</v>
      </c>
      <c r="D19" s="321" t="s">
        <v>51</v>
      </c>
      <c r="E19" s="321" t="s">
        <v>49</v>
      </c>
      <c r="F19" s="321">
        <v>3200</v>
      </c>
      <c r="G19" s="322">
        <v>2009</v>
      </c>
    </row>
    <row r="20" spans="2:7">
      <c r="B20" s="495"/>
      <c r="C20" s="321" t="s">
        <v>47</v>
      </c>
      <c r="D20" s="321" t="s">
        <v>51</v>
      </c>
      <c r="E20" s="321" t="s">
        <v>49</v>
      </c>
      <c r="F20" s="321">
        <v>3150</v>
      </c>
      <c r="G20" s="322">
        <v>2008</v>
      </c>
    </row>
    <row r="21" spans="2:7">
      <c r="B21" s="495"/>
      <c r="C21" s="321" t="s">
        <v>47</v>
      </c>
      <c r="D21" s="321" t="s">
        <v>51</v>
      </c>
      <c r="E21" s="321" t="s">
        <v>49</v>
      </c>
      <c r="F21" s="321">
        <v>3050</v>
      </c>
      <c r="G21" s="322">
        <v>2007</v>
      </c>
    </row>
    <row r="22" spans="2:7" ht="15.75">
      <c r="B22" s="226"/>
      <c r="C22" s="321"/>
      <c r="D22" s="321"/>
      <c r="E22" s="321"/>
      <c r="F22" s="321"/>
      <c r="G22" s="322"/>
    </row>
    <row r="23" spans="2:7" ht="25.5" customHeight="1">
      <c r="B23" s="226" t="s">
        <v>248</v>
      </c>
      <c r="C23" s="304" t="s">
        <v>2</v>
      </c>
      <c r="D23" s="304" t="s">
        <v>247</v>
      </c>
      <c r="E23" s="304" t="s">
        <v>246</v>
      </c>
      <c r="F23" s="304" t="s">
        <v>3</v>
      </c>
      <c r="G23" s="304" t="s">
        <v>19</v>
      </c>
    </row>
    <row r="24" spans="2:7">
      <c r="B24" s="495" t="s">
        <v>105</v>
      </c>
      <c r="C24" s="321" t="s">
        <v>54</v>
      </c>
      <c r="D24" s="321">
        <v>348.43</v>
      </c>
      <c r="E24" s="321">
        <v>401.29</v>
      </c>
      <c r="F24" s="321">
        <v>3251</v>
      </c>
      <c r="G24" s="322">
        <v>2023</v>
      </c>
    </row>
    <row r="25" spans="2:7">
      <c r="B25" s="495"/>
      <c r="C25" s="321" t="s">
        <v>54</v>
      </c>
      <c r="D25" s="321">
        <v>348.43</v>
      </c>
      <c r="E25" s="321">
        <v>401.29</v>
      </c>
      <c r="F25" s="321">
        <v>3163</v>
      </c>
      <c r="G25" s="322">
        <v>2022</v>
      </c>
    </row>
    <row r="26" spans="2:7">
      <c r="B26" s="495"/>
      <c r="C26" s="321" t="s">
        <v>48</v>
      </c>
      <c r="D26" s="321">
        <v>361.95</v>
      </c>
      <c r="E26" s="321">
        <v>420.1</v>
      </c>
      <c r="F26" s="321">
        <v>2885</v>
      </c>
      <c r="G26" s="322">
        <v>2021</v>
      </c>
    </row>
    <row r="27" spans="2:7">
      <c r="B27" s="495"/>
      <c r="C27" s="321" t="s">
        <v>48</v>
      </c>
      <c r="D27" s="321">
        <v>361.95</v>
      </c>
      <c r="E27" s="321">
        <v>420.1</v>
      </c>
      <c r="F27" s="321">
        <v>2099</v>
      </c>
      <c r="G27" s="322">
        <v>2020</v>
      </c>
    </row>
    <row r="28" spans="2:7">
      <c r="B28" s="495"/>
      <c r="C28" s="321" t="s">
        <v>48</v>
      </c>
      <c r="D28" s="321">
        <v>361.95</v>
      </c>
      <c r="E28" s="321">
        <v>420.1</v>
      </c>
      <c r="F28" s="321">
        <v>2989</v>
      </c>
      <c r="G28" s="322">
        <v>2019</v>
      </c>
    </row>
    <row r="29" spans="2:7">
      <c r="B29" s="495"/>
      <c r="C29" s="321" t="s">
        <v>48</v>
      </c>
      <c r="D29" s="321">
        <v>361.95</v>
      </c>
      <c r="E29" s="321">
        <v>420.1</v>
      </c>
      <c r="F29" s="321">
        <v>3046</v>
      </c>
      <c r="G29" s="322">
        <v>2018</v>
      </c>
    </row>
    <row r="30" spans="2:7">
      <c r="B30" s="495"/>
      <c r="C30" s="321" t="s">
        <v>48</v>
      </c>
      <c r="D30" s="321">
        <v>361.95</v>
      </c>
      <c r="E30" s="321">
        <v>420.1</v>
      </c>
      <c r="F30" s="321">
        <v>3174</v>
      </c>
      <c r="G30" s="322">
        <v>2017</v>
      </c>
    </row>
    <row r="31" spans="2:7">
      <c r="B31" s="495"/>
      <c r="C31" s="321" t="s">
        <v>48</v>
      </c>
      <c r="D31" s="321">
        <v>361.95</v>
      </c>
      <c r="E31" s="321">
        <v>401.34</v>
      </c>
      <c r="F31" s="321">
        <v>2267</v>
      </c>
      <c r="G31" s="322">
        <v>2006</v>
      </c>
    </row>
    <row r="32" spans="2:7">
      <c r="B32" s="495"/>
      <c r="C32" s="321" t="s">
        <v>48</v>
      </c>
      <c r="D32" s="321" t="s">
        <v>49</v>
      </c>
      <c r="E32" s="321" t="s">
        <v>52</v>
      </c>
      <c r="F32" s="321">
        <v>3099</v>
      </c>
      <c r="G32" s="322">
        <v>2016</v>
      </c>
    </row>
    <row r="33" spans="2:7">
      <c r="B33" s="495"/>
      <c r="C33" s="321" t="s">
        <v>48</v>
      </c>
      <c r="D33" s="321" t="s">
        <v>49</v>
      </c>
      <c r="E33" s="321" t="s">
        <v>52</v>
      </c>
      <c r="F33" s="321">
        <v>3175</v>
      </c>
      <c r="G33" s="322">
        <v>2015</v>
      </c>
    </row>
    <row r="34" spans="2:7">
      <c r="B34" s="495"/>
      <c r="C34" s="321" t="s">
        <v>48</v>
      </c>
      <c r="D34" s="321" t="s">
        <v>49</v>
      </c>
      <c r="E34" s="321" t="s">
        <v>52</v>
      </c>
      <c r="F34" s="321">
        <v>3114</v>
      </c>
      <c r="G34" s="322">
        <v>2014</v>
      </c>
    </row>
    <row r="35" spans="2:7">
      <c r="B35" s="495"/>
      <c r="C35" s="321" t="s">
        <v>48</v>
      </c>
      <c r="D35" s="321" t="s">
        <v>49</v>
      </c>
      <c r="E35" s="321" t="s">
        <v>52</v>
      </c>
      <c r="F35" s="321">
        <v>3385</v>
      </c>
      <c r="G35" s="322">
        <v>2013</v>
      </c>
    </row>
    <row r="36" spans="2:7">
      <c r="B36" s="495"/>
      <c r="C36" s="321" t="s">
        <v>48</v>
      </c>
      <c r="D36" s="321" t="s">
        <v>49</v>
      </c>
      <c r="E36" s="321" t="s">
        <v>52</v>
      </c>
      <c r="F36" s="321">
        <v>3072</v>
      </c>
      <c r="G36" s="322">
        <v>2012</v>
      </c>
    </row>
    <row r="37" spans="2:7">
      <c r="B37" s="495"/>
      <c r="C37" s="321" t="s">
        <v>48</v>
      </c>
      <c r="D37" s="321" t="s">
        <v>49</v>
      </c>
      <c r="E37" s="321" t="s">
        <v>52</v>
      </c>
      <c r="F37" s="321">
        <v>2929</v>
      </c>
      <c r="G37" s="322">
        <v>2011</v>
      </c>
    </row>
    <row r="38" spans="2:7">
      <c r="B38" s="495"/>
      <c r="C38" s="321" t="s">
        <v>48</v>
      </c>
      <c r="D38" s="321" t="s">
        <v>49</v>
      </c>
      <c r="E38" s="321" t="s">
        <v>52</v>
      </c>
      <c r="F38" s="321">
        <v>2778</v>
      </c>
      <c r="G38" s="322">
        <v>2010</v>
      </c>
    </row>
    <row r="39" spans="2:7">
      <c r="B39" s="495"/>
      <c r="C39" s="321" t="s">
        <v>48</v>
      </c>
      <c r="D39" s="321" t="s">
        <v>49</v>
      </c>
      <c r="E39" s="321" t="s">
        <v>52</v>
      </c>
      <c r="F39" s="321">
        <v>2616</v>
      </c>
      <c r="G39" s="322">
        <v>2009</v>
      </c>
    </row>
    <row r="40" spans="2:7">
      <c r="B40" s="495"/>
      <c r="C40" s="321" t="s">
        <v>48</v>
      </c>
      <c r="D40" s="321" t="s">
        <v>49</v>
      </c>
      <c r="E40" s="321" t="s">
        <v>52</v>
      </c>
      <c r="F40" s="321">
        <v>2560</v>
      </c>
      <c r="G40" s="322">
        <v>2008</v>
      </c>
    </row>
    <row r="41" spans="2:7">
      <c r="B41" s="495"/>
      <c r="C41" s="321" t="s">
        <v>48</v>
      </c>
      <c r="D41" s="321" t="s">
        <v>49</v>
      </c>
      <c r="E41" s="321" t="s">
        <v>50</v>
      </c>
      <c r="F41" s="321">
        <v>2459</v>
      </c>
      <c r="G41" s="322">
        <v>2007</v>
      </c>
    </row>
  </sheetData>
  <mergeCells count="2">
    <mergeCell ref="B24:B41"/>
    <mergeCell ref="B4:B2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100"/>
  <sheetViews>
    <sheetView showGridLines="0" tabSelected="1" topLeftCell="B30" zoomScale="70" zoomScaleNormal="70" workbookViewId="0">
      <selection activeCell="E63" sqref="E63"/>
    </sheetView>
  </sheetViews>
  <sheetFormatPr baseColWidth="10" defaultColWidth="9.140625" defaultRowHeight="15"/>
  <cols>
    <col min="1" max="1" width="9.140625" style="179"/>
    <col min="2" max="2" width="12.85546875" style="179" customWidth="1"/>
    <col min="3" max="3" width="16.85546875" style="179" customWidth="1"/>
    <col min="4" max="5" width="11.85546875" style="179" customWidth="1"/>
    <col min="6" max="6" width="11.5703125" style="179" bestFit="1" customWidth="1"/>
    <col min="7" max="7" width="11.85546875" style="179" customWidth="1"/>
    <col min="8" max="8" width="15.7109375" style="179" bestFit="1" customWidth="1"/>
    <col min="9" max="10" width="14.85546875" style="179" customWidth="1"/>
    <col min="11" max="11" width="14.5703125" style="179" customWidth="1"/>
    <col min="12" max="12" width="13.85546875" style="179" customWidth="1"/>
    <col min="13" max="13" width="12.85546875" style="179" customWidth="1"/>
    <col min="14" max="14" width="12.42578125" style="179" customWidth="1"/>
    <col min="15" max="15" width="11" style="179" customWidth="1"/>
    <col min="16" max="17" width="14.85546875" style="179" customWidth="1"/>
    <col min="18" max="19" width="12.140625" style="179" customWidth="1"/>
    <col min="20" max="20" width="12.85546875" style="179" customWidth="1"/>
    <col min="21" max="21" width="12.42578125" style="179" customWidth="1"/>
    <col min="22" max="22" width="14.7109375" style="179" bestFit="1" customWidth="1"/>
    <col min="23" max="24" width="14.85546875" style="179" customWidth="1"/>
    <col min="25" max="26" width="12.140625" style="179" customWidth="1"/>
    <col min="27" max="27" width="12.85546875" style="179" customWidth="1"/>
    <col min="28" max="28" width="12.42578125" style="179" customWidth="1"/>
    <col min="29" max="29" width="14" customWidth="1"/>
    <col min="33" max="33" width="12.5703125" customWidth="1"/>
    <col min="34" max="34" width="10.140625" customWidth="1"/>
  </cols>
  <sheetData>
    <row r="1" spans="2:29" ht="28.5" customHeight="1">
      <c r="B1" s="182" t="s">
        <v>130</v>
      </c>
    </row>
    <row r="2" spans="2:29" ht="15.75" thickBot="1"/>
    <row r="3" spans="2:29">
      <c r="B3" s="271" t="s">
        <v>129</v>
      </c>
      <c r="C3" s="272" t="s">
        <v>128</v>
      </c>
      <c r="D3" s="272"/>
      <c r="E3" s="272"/>
      <c r="F3" s="272"/>
      <c r="G3" s="273"/>
      <c r="H3" s="180"/>
      <c r="I3" s="271" t="s">
        <v>129</v>
      </c>
      <c r="J3" s="272" t="s">
        <v>128</v>
      </c>
      <c r="K3" s="272"/>
      <c r="L3" s="272"/>
      <c r="M3" s="272"/>
      <c r="N3" s="273"/>
      <c r="O3" s="180"/>
      <c r="P3" s="271" t="s">
        <v>129</v>
      </c>
      <c r="Q3" s="272" t="s">
        <v>128</v>
      </c>
      <c r="R3" s="272"/>
      <c r="S3" s="272"/>
      <c r="T3" s="272"/>
      <c r="U3" s="273"/>
      <c r="V3" s="180"/>
      <c r="W3" s="271" t="s">
        <v>129</v>
      </c>
      <c r="X3" s="272" t="s">
        <v>128</v>
      </c>
      <c r="Y3" s="272"/>
      <c r="Z3" s="272"/>
      <c r="AA3" s="272"/>
      <c r="AB3" s="273"/>
      <c r="AC3" s="180"/>
    </row>
    <row r="4" spans="2:29">
      <c r="B4" s="274" t="s">
        <v>127</v>
      </c>
      <c r="C4" s="275" t="s">
        <v>126</v>
      </c>
      <c r="D4" s="275"/>
      <c r="E4" s="275"/>
      <c r="F4" s="275"/>
      <c r="G4" s="276"/>
      <c r="H4" s="180"/>
      <c r="I4" s="274" t="s">
        <v>127</v>
      </c>
      <c r="J4" s="275" t="s">
        <v>126</v>
      </c>
      <c r="K4" s="275"/>
      <c r="L4" s="275"/>
      <c r="M4" s="275"/>
      <c r="N4" s="276"/>
      <c r="O4" s="180"/>
      <c r="P4" s="274" t="s">
        <v>127</v>
      </c>
      <c r="Q4" s="275" t="s">
        <v>126</v>
      </c>
      <c r="R4" s="275"/>
      <c r="S4" s="275"/>
      <c r="T4" s="275"/>
      <c r="U4" s="276"/>
      <c r="V4" s="180"/>
      <c r="W4" s="274" t="s">
        <v>127</v>
      </c>
      <c r="X4" s="275" t="s">
        <v>126</v>
      </c>
      <c r="Y4" s="275"/>
      <c r="Z4" s="275"/>
      <c r="AA4" s="275"/>
      <c r="AB4" s="276"/>
    </row>
    <row r="5" spans="2:29" ht="15.75">
      <c r="B5" s="277" t="s">
        <v>125</v>
      </c>
      <c r="C5" s="278" t="s">
        <v>124</v>
      </c>
      <c r="D5" s="279"/>
      <c r="E5" s="280" t="s">
        <v>123</v>
      </c>
      <c r="F5" s="281">
        <v>45548</v>
      </c>
      <c r="G5" s="270" t="str">
        <f>IF(WEEKDAY(F5)=2,"Lunes",IF(WEEKDAY(F5)=3,"Martes",IF(WEEKDAY(F5)=4,"Miercoles",IF(WEEKDAY(F5)=5,"Jueves",IF(WEEKDAY(F5)=6,"Viernes",IF(WEEKDAY(F5)=7,"Sabado",FALSE))))))</f>
        <v>Viernes</v>
      </c>
      <c r="H5" s="180"/>
      <c r="I5" s="277" t="s">
        <v>125</v>
      </c>
      <c r="J5" s="278" t="s">
        <v>124</v>
      </c>
      <c r="K5" s="279"/>
      <c r="L5" s="280" t="s">
        <v>123</v>
      </c>
      <c r="M5" s="281">
        <v>45548</v>
      </c>
      <c r="N5" s="270" t="str">
        <f>IF(WEEKDAY(M5)=2,"Lunes",IF(WEEKDAY(M5)=3,"Martes",IF(WEEKDAY(M5)=4,"Miercoles",IF(WEEKDAY(M5)=5,"Jueves",IF(WEEKDAY(M5)=6,"Viernes",IF(WEEKDAY(M5)=7,"Sabado",FALSE))))))</f>
        <v>Viernes</v>
      </c>
      <c r="P5" s="277" t="s">
        <v>125</v>
      </c>
      <c r="Q5" s="278" t="s">
        <v>124</v>
      </c>
      <c r="R5" s="279"/>
      <c r="S5" s="280" t="s">
        <v>123</v>
      </c>
      <c r="T5" s="281">
        <v>45548</v>
      </c>
      <c r="U5" s="270" t="str">
        <f>IF(WEEKDAY(T5)=2,"Lunes",IF(WEEKDAY(T5)=3,"Martes",IF(WEEKDAY(T5)=4,"Miercoles",IF(WEEKDAY(T5)=5,"Jueves",IF(WEEKDAY(T5)=6,"Viernes",IF(WEEKDAY(T5)=7,"Sabado",FALSE))))))</f>
        <v>Viernes</v>
      </c>
      <c r="V5" s="180"/>
      <c r="W5" s="277" t="s">
        <v>125</v>
      </c>
      <c r="X5" s="278" t="s">
        <v>124</v>
      </c>
      <c r="Y5" s="279"/>
      <c r="Z5" s="280" t="s">
        <v>123</v>
      </c>
      <c r="AA5" s="281">
        <v>45548</v>
      </c>
      <c r="AB5" s="270" t="str">
        <f>IF(WEEKDAY(AA5)=2,"Lunes",IF(WEEKDAY(AA5)=3,"Martes",IF(WEEKDAY(AA5)=4,"Miercoles",IF(WEEKDAY(AA5)=5,"Jueves",IF(WEEKDAY(AA5)=6,"Viernes",IF(WEEKDAY(AA5)=7,"Sabado",FALSE))))))</f>
        <v>Viernes</v>
      </c>
    </row>
    <row r="6" spans="2:29" ht="15.75" thickBot="1">
      <c r="B6" s="282" t="s">
        <v>122</v>
      </c>
      <c r="C6" s="283">
        <v>0.3743055555555555</v>
      </c>
      <c r="D6" s="284" t="s">
        <v>120</v>
      </c>
      <c r="E6" s="285" t="s">
        <v>121</v>
      </c>
      <c r="F6" s="283">
        <v>0.41597222222222219</v>
      </c>
      <c r="G6" s="286" t="s">
        <v>120</v>
      </c>
      <c r="H6" s="180"/>
      <c r="I6" s="282" t="s">
        <v>122</v>
      </c>
      <c r="J6" s="283">
        <v>0.41597222222222219</v>
      </c>
      <c r="K6" s="284" t="s">
        <v>120</v>
      </c>
      <c r="L6" s="285" t="s">
        <v>121</v>
      </c>
      <c r="M6" s="283">
        <v>0.45763888888888887</v>
      </c>
      <c r="N6" s="286" t="s">
        <v>120</v>
      </c>
      <c r="P6" s="282" t="s">
        <v>122</v>
      </c>
      <c r="Q6" s="283">
        <v>0.45763888888888887</v>
      </c>
      <c r="R6" s="284" t="s">
        <v>120</v>
      </c>
      <c r="S6" s="285" t="s">
        <v>121</v>
      </c>
      <c r="T6" s="283">
        <v>0.4993055555555555</v>
      </c>
      <c r="U6" s="286" t="s">
        <v>120</v>
      </c>
      <c r="V6" s="180"/>
      <c r="W6" s="282" t="s">
        <v>122</v>
      </c>
      <c r="X6" s="283">
        <v>0.5</v>
      </c>
      <c r="Y6" s="284" t="s">
        <v>120</v>
      </c>
      <c r="Z6" s="285" t="s">
        <v>121</v>
      </c>
      <c r="AA6" s="283">
        <v>0.54166666666666663</v>
      </c>
      <c r="AB6" s="286" t="s">
        <v>120</v>
      </c>
    </row>
    <row r="7" spans="2:29" ht="15.75" thickBot="1">
      <c r="H7" s="180"/>
      <c r="V7" s="180"/>
    </row>
    <row r="8" spans="2:29">
      <c r="B8" s="507" t="s">
        <v>119</v>
      </c>
      <c r="C8" s="508"/>
      <c r="D8" s="526" t="s">
        <v>118</v>
      </c>
      <c r="E8" s="527"/>
      <c r="F8" s="527"/>
      <c r="G8" s="528"/>
      <c r="I8" s="507" t="s">
        <v>119</v>
      </c>
      <c r="J8" s="508"/>
      <c r="K8" s="526" t="s">
        <v>118</v>
      </c>
      <c r="L8" s="527"/>
      <c r="M8" s="527"/>
      <c r="N8" s="528"/>
      <c r="P8" s="507" t="s">
        <v>119</v>
      </c>
      <c r="Q8" s="508"/>
      <c r="R8" s="526" t="s">
        <v>118</v>
      </c>
      <c r="S8" s="527"/>
      <c r="T8" s="527"/>
      <c r="U8" s="528"/>
      <c r="W8" s="507" t="s">
        <v>119</v>
      </c>
      <c r="X8" s="508"/>
      <c r="Y8" s="526" t="s">
        <v>118</v>
      </c>
      <c r="Z8" s="527"/>
      <c r="AA8" s="527"/>
      <c r="AB8" s="528"/>
    </row>
    <row r="9" spans="2:29">
      <c r="B9" s="509"/>
      <c r="C9" s="510"/>
      <c r="D9" s="513" t="s">
        <v>117</v>
      </c>
      <c r="E9" s="513"/>
      <c r="F9" s="513" t="s">
        <v>116</v>
      </c>
      <c r="G9" s="513"/>
      <c r="H9" s="180"/>
      <c r="I9" s="509"/>
      <c r="J9" s="510"/>
      <c r="K9" s="513" t="s">
        <v>117</v>
      </c>
      <c r="L9" s="513"/>
      <c r="M9" s="513" t="s">
        <v>116</v>
      </c>
      <c r="N9" s="513"/>
      <c r="P9" s="509"/>
      <c r="Q9" s="510"/>
      <c r="R9" s="513" t="s">
        <v>117</v>
      </c>
      <c r="S9" s="513"/>
      <c r="T9" s="513" t="s">
        <v>116</v>
      </c>
      <c r="U9" s="513"/>
      <c r="V9" s="180"/>
      <c r="W9" s="509"/>
      <c r="X9" s="510"/>
      <c r="Y9" s="513" t="s">
        <v>117</v>
      </c>
      <c r="Z9" s="513"/>
      <c r="AA9" s="513" t="s">
        <v>116</v>
      </c>
      <c r="AB9" s="513"/>
    </row>
    <row r="10" spans="2:29" ht="15.75" thickBot="1">
      <c r="B10" s="511"/>
      <c r="C10" s="512"/>
      <c r="D10" s="523" t="s">
        <v>237</v>
      </c>
      <c r="E10" s="525"/>
      <c r="F10" s="523" t="s">
        <v>237</v>
      </c>
      <c r="G10" s="524"/>
      <c r="H10" s="180"/>
      <c r="I10" s="511"/>
      <c r="J10" s="512"/>
      <c r="K10" s="523" t="s">
        <v>237</v>
      </c>
      <c r="L10" s="525"/>
      <c r="M10" s="523" t="s">
        <v>237</v>
      </c>
      <c r="N10" s="524"/>
      <c r="O10" s="180"/>
      <c r="P10" s="511"/>
      <c r="Q10" s="512"/>
      <c r="R10" s="523" t="s">
        <v>237</v>
      </c>
      <c r="S10" s="525"/>
      <c r="T10" s="523" t="s">
        <v>237</v>
      </c>
      <c r="U10" s="524"/>
      <c r="V10" s="180"/>
      <c r="W10" s="511"/>
      <c r="X10" s="512"/>
      <c r="Y10" s="523" t="s">
        <v>237</v>
      </c>
      <c r="Z10" s="525"/>
      <c r="AA10" s="523" t="s">
        <v>237</v>
      </c>
      <c r="AB10" s="524"/>
    </row>
    <row r="11" spans="2:29" ht="15.75" thickTop="1">
      <c r="B11" s="274" t="s">
        <v>115</v>
      </c>
      <c r="C11" s="287"/>
      <c r="D11" s="514">
        <v>2</v>
      </c>
      <c r="E11" s="515"/>
      <c r="F11" s="514">
        <v>0</v>
      </c>
      <c r="G11" s="520"/>
      <c r="H11" s="180"/>
      <c r="I11" s="274" t="s">
        <v>115</v>
      </c>
      <c r="J11" s="287"/>
      <c r="K11" s="514">
        <v>0</v>
      </c>
      <c r="L11" s="515"/>
      <c r="M11" s="514">
        <v>0</v>
      </c>
      <c r="N11" s="520"/>
      <c r="P11" s="274" t="s">
        <v>115</v>
      </c>
      <c r="Q11" s="287"/>
      <c r="R11" s="514">
        <v>4</v>
      </c>
      <c r="S11" s="515"/>
      <c r="T11" s="514">
        <v>4</v>
      </c>
      <c r="U11" s="520"/>
      <c r="V11" s="180"/>
      <c r="W11" s="274" t="s">
        <v>115</v>
      </c>
      <c r="X11" s="287"/>
      <c r="Y11" s="514">
        <v>4</v>
      </c>
      <c r="Z11" s="515"/>
      <c r="AA11" s="514">
        <v>0</v>
      </c>
      <c r="AB11" s="520"/>
    </row>
    <row r="12" spans="2:29">
      <c r="B12" s="288" t="s">
        <v>114</v>
      </c>
      <c r="C12" s="289"/>
      <c r="D12" s="516">
        <v>96</v>
      </c>
      <c r="E12" s="517"/>
      <c r="F12" s="516">
        <v>83</v>
      </c>
      <c r="G12" s="521"/>
      <c r="H12" s="180"/>
      <c r="I12" s="288" t="s">
        <v>114</v>
      </c>
      <c r="J12" s="289"/>
      <c r="K12" s="516">
        <v>87</v>
      </c>
      <c r="L12" s="517"/>
      <c r="M12" s="516">
        <v>95</v>
      </c>
      <c r="N12" s="521"/>
      <c r="P12" s="288" t="s">
        <v>114</v>
      </c>
      <c r="Q12" s="289"/>
      <c r="R12" s="516">
        <v>88</v>
      </c>
      <c r="S12" s="517"/>
      <c r="T12" s="516">
        <v>81</v>
      </c>
      <c r="U12" s="521"/>
      <c r="V12" s="180"/>
      <c r="W12" s="288" t="s">
        <v>114</v>
      </c>
      <c r="X12" s="289"/>
      <c r="Y12" s="516">
        <v>105</v>
      </c>
      <c r="Z12" s="517"/>
      <c r="AA12" s="516">
        <v>98</v>
      </c>
      <c r="AB12" s="521"/>
    </row>
    <row r="13" spans="2:29">
      <c r="B13" s="288" t="s">
        <v>113</v>
      </c>
      <c r="C13" s="289"/>
      <c r="D13" s="516">
        <v>4</v>
      </c>
      <c r="E13" s="517"/>
      <c r="F13" s="516">
        <v>1</v>
      </c>
      <c r="G13" s="521"/>
      <c r="H13" s="180"/>
      <c r="I13" s="288" t="s">
        <v>113</v>
      </c>
      <c r="J13" s="289"/>
      <c r="K13" s="516">
        <v>2</v>
      </c>
      <c r="L13" s="517"/>
      <c r="M13" s="516">
        <v>2</v>
      </c>
      <c r="N13" s="521"/>
      <c r="P13" s="288" t="s">
        <v>113</v>
      </c>
      <c r="Q13" s="289"/>
      <c r="R13" s="516">
        <v>5</v>
      </c>
      <c r="S13" s="517"/>
      <c r="T13" s="516">
        <v>4</v>
      </c>
      <c r="U13" s="521"/>
      <c r="V13" s="180"/>
      <c r="W13" s="288" t="s">
        <v>113</v>
      </c>
      <c r="X13" s="289"/>
      <c r="Y13" s="516">
        <v>4</v>
      </c>
      <c r="Z13" s="517"/>
      <c r="AA13" s="516">
        <v>1</v>
      </c>
      <c r="AB13" s="521"/>
    </row>
    <row r="14" spans="2:29">
      <c r="B14" s="288" t="s">
        <v>112</v>
      </c>
      <c r="C14" s="289"/>
      <c r="D14" s="516">
        <v>7</v>
      </c>
      <c r="E14" s="517"/>
      <c r="F14" s="516">
        <v>8</v>
      </c>
      <c r="G14" s="521"/>
      <c r="H14" s="180"/>
      <c r="I14" s="288" t="s">
        <v>112</v>
      </c>
      <c r="J14" s="289"/>
      <c r="K14" s="516">
        <v>11</v>
      </c>
      <c r="L14" s="517"/>
      <c r="M14" s="516">
        <v>7</v>
      </c>
      <c r="N14" s="521"/>
      <c r="P14" s="288" t="s">
        <v>112</v>
      </c>
      <c r="Q14" s="289"/>
      <c r="R14" s="516">
        <v>6</v>
      </c>
      <c r="S14" s="517"/>
      <c r="T14" s="516">
        <v>16</v>
      </c>
      <c r="U14" s="521"/>
      <c r="V14" s="180"/>
      <c r="W14" s="288" t="s">
        <v>112</v>
      </c>
      <c r="X14" s="289"/>
      <c r="Y14" s="516">
        <v>9</v>
      </c>
      <c r="Z14" s="517"/>
      <c r="AA14" s="516">
        <v>12</v>
      </c>
      <c r="AB14" s="521"/>
    </row>
    <row r="15" spans="2:29">
      <c r="B15" s="288" t="s">
        <v>111</v>
      </c>
      <c r="C15" s="289"/>
      <c r="D15" s="516">
        <v>10</v>
      </c>
      <c r="E15" s="517"/>
      <c r="F15" s="516">
        <v>5</v>
      </c>
      <c r="G15" s="521"/>
      <c r="H15" s="180"/>
      <c r="I15" s="288" t="s">
        <v>111</v>
      </c>
      <c r="J15" s="289"/>
      <c r="K15" s="516">
        <v>10</v>
      </c>
      <c r="L15" s="517"/>
      <c r="M15" s="516">
        <v>3</v>
      </c>
      <c r="N15" s="521"/>
      <c r="P15" s="288" t="s">
        <v>111</v>
      </c>
      <c r="Q15" s="289"/>
      <c r="R15" s="516">
        <v>2</v>
      </c>
      <c r="S15" s="517"/>
      <c r="T15" s="516">
        <v>5</v>
      </c>
      <c r="U15" s="521"/>
      <c r="V15" s="180"/>
      <c r="W15" s="288" t="s">
        <v>111</v>
      </c>
      <c r="X15" s="289"/>
      <c r="Y15" s="516">
        <v>8</v>
      </c>
      <c r="Z15" s="517"/>
      <c r="AA15" s="516">
        <v>5</v>
      </c>
      <c r="AB15" s="521"/>
    </row>
    <row r="16" spans="2:29">
      <c r="B16" s="288" t="s">
        <v>110</v>
      </c>
      <c r="C16" s="289"/>
      <c r="D16" s="516">
        <v>8</v>
      </c>
      <c r="E16" s="517"/>
      <c r="F16" s="516">
        <v>6</v>
      </c>
      <c r="G16" s="521"/>
      <c r="H16" s="180"/>
      <c r="I16" s="288" t="s">
        <v>110</v>
      </c>
      <c r="J16" s="289"/>
      <c r="K16" s="516">
        <v>11</v>
      </c>
      <c r="L16" s="517"/>
      <c r="M16" s="516">
        <v>7</v>
      </c>
      <c r="N16" s="521"/>
      <c r="P16" s="288" t="s">
        <v>110</v>
      </c>
      <c r="Q16" s="289"/>
      <c r="R16" s="516">
        <v>10</v>
      </c>
      <c r="S16" s="517"/>
      <c r="T16" s="516">
        <v>7</v>
      </c>
      <c r="U16" s="521"/>
      <c r="V16" s="180"/>
      <c r="W16" s="288" t="s">
        <v>110</v>
      </c>
      <c r="X16" s="289"/>
      <c r="Y16" s="516">
        <v>6</v>
      </c>
      <c r="Z16" s="517"/>
      <c r="AA16" s="516">
        <v>6</v>
      </c>
      <c r="AB16" s="521"/>
    </row>
    <row r="17" spans="2:28" ht="15.75" thickBot="1">
      <c r="B17" s="290" t="s">
        <v>109</v>
      </c>
      <c r="C17" s="291"/>
      <c r="D17" s="518">
        <v>1</v>
      </c>
      <c r="E17" s="519"/>
      <c r="F17" s="518">
        <v>0</v>
      </c>
      <c r="G17" s="522"/>
      <c r="H17" s="180"/>
      <c r="I17" s="290" t="s">
        <v>109</v>
      </c>
      <c r="J17" s="291"/>
      <c r="K17" s="518">
        <v>0</v>
      </c>
      <c r="L17" s="519"/>
      <c r="M17" s="518">
        <v>0</v>
      </c>
      <c r="N17" s="522"/>
      <c r="P17" s="290" t="s">
        <v>109</v>
      </c>
      <c r="Q17" s="291"/>
      <c r="R17" s="518">
        <v>0</v>
      </c>
      <c r="S17" s="519"/>
      <c r="T17" s="518">
        <v>0</v>
      </c>
      <c r="U17" s="522"/>
      <c r="V17" s="180"/>
      <c r="W17" s="290" t="s">
        <v>109</v>
      </c>
      <c r="X17" s="291"/>
      <c r="Y17" s="518">
        <v>0</v>
      </c>
      <c r="Z17" s="519"/>
      <c r="AA17" s="518">
        <v>0</v>
      </c>
      <c r="AB17" s="522"/>
    </row>
    <row r="18" spans="2:28" ht="15.75" thickBot="1">
      <c r="H18" s="180"/>
      <c r="V18" s="180"/>
    </row>
    <row r="19" spans="2:28" ht="15.75" thickBot="1">
      <c r="D19" s="292" t="s">
        <v>46</v>
      </c>
      <c r="E19" s="293">
        <f>+SUM(D11:E17,F11:G17)</f>
        <v>231</v>
      </c>
      <c r="F19" s="294" t="s">
        <v>234</v>
      </c>
      <c r="H19" s="180"/>
      <c r="K19" s="292" t="s">
        <v>46</v>
      </c>
      <c r="L19" s="293">
        <f>+SUM(K11:L17,M11:N17)</f>
        <v>235</v>
      </c>
      <c r="M19" s="294" t="s">
        <v>234</v>
      </c>
      <c r="R19" s="292" t="s">
        <v>46</v>
      </c>
      <c r="S19" s="293">
        <f>+SUM(R11:S17,T11:U17)</f>
        <v>232</v>
      </c>
      <c r="T19" s="294" t="s">
        <v>234</v>
      </c>
      <c r="V19" s="180"/>
      <c r="Y19" s="292" t="s">
        <v>46</v>
      </c>
      <c r="Z19" s="293">
        <f>+SUM(Y11:Z17,AA11:AB17)</f>
        <v>258</v>
      </c>
      <c r="AA19" s="294" t="s">
        <v>234</v>
      </c>
    </row>
    <row r="20" spans="2:28" ht="15.75" thickBot="1">
      <c r="D20" s="529" t="s">
        <v>233</v>
      </c>
      <c r="E20" s="530"/>
      <c r="F20" s="295">
        <f>+SUM(D13:E16,F13:G16)/E19</f>
        <v>0.21212121212121213</v>
      </c>
      <c r="H20" s="180"/>
      <c r="K20" s="529" t="s">
        <v>233</v>
      </c>
      <c r="L20" s="530"/>
      <c r="M20" s="295">
        <f>+SUM(K13:L16,M13:N16)/L19</f>
        <v>0.22553191489361701</v>
      </c>
      <c r="R20" s="529" t="s">
        <v>233</v>
      </c>
      <c r="S20" s="530"/>
      <c r="T20" s="295">
        <f>+SUM(R13:S16,T13:U16)/S19</f>
        <v>0.23706896551724138</v>
      </c>
      <c r="V20" s="180"/>
      <c r="Y20" s="529" t="s">
        <v>233</v>
      </c>
      <c r="Z20" s="530"/>
      <c r="AA20" s="295">
        <f>+SUM(Y13:Z16,AA13:AB16)/Z19</f>
        <v>0.19767441860465115</v>
      </c>
    </row>
    <row r="21" spans="2:28" ht="15.75" thickBot="1">
      <c r="B21" s="180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</row>
    <row r="22" spans="2:28">
      <c r="B22" s="271" t="s">
        <v>129</v>
      </c>
      <c r="C22" s="272" t="s">
        <v>128</v>
      </c>
      <c r="D22" s="272"/>
      <c r="E22" s="272"/>
      <c r="F22" s="272"/>
      <c r="G22" s="273"/>
      <c r="H22" s="180"/>
      <c r="I22" s="271" t="s">
        <v>129</v>
      </c>
      <c r="J22" s="272" t="s">
        <v>128</v>
      </c>
      <c r="K22" s="272"/>
      <c r="L22" s="272"/>
      <c r="M22" s="272"/>
      <c r="N22" s="273"/>
      <c r="O22" s="180"/>
      <c r="P22" s="271" t="s">
        <v>129</v>
      </c>
      <c r="Q22" s="272" t="s">
        <v>128</v>
      </c>
      <c r="R22" s="272"/>
      <c r="S22" s="272"/>
      <c r="T22" s="272"/>
      <c r="U22" s="273"/>
      <c r="V22" s="180"/>
      <c r="W22" s="271" t="s">
        <v>129</v>
      </c>
      <c r="X22" s="272" t="s">
        <v>128</v>
      </c>
      <c r="Y22" s="272"/>
      <c r="Z22" s="272"/>
      <c r="AA22" s="272"/>
      <c r="AB22" s="273"/>
    </row>
    <row r="23" spans="2:28" ht="15.75" thickBot="1">
      <c r="B23" s="366" t="s">
        <v>127</v>
      </c>
      <c r="G23" s="367"/>
      <c r="H23" s="180"/>
      <c r="I23" s="366" t="s">
        <v>127</v>
      </c>
      <c r="N23" s="367"/>
      <c r="O23" s="180"/>
      <c r="P23" s="366" t="s">
        <v>127</v>
      </c>
      <c r="U23" s="367"/>
      <c r="V23" s="180"/>
      <c r="W23" s="366" t="s">
        <v>127</v>
      </c>
      <c r="AB23" s="367"/>
    </row>
    <row r="24" spans="2:28" ht="15.75">
      <c r="B24" s="271" t="s">
        <v>125</v>
      </c>
      <c r="C24" s="368" t="str">
        <f>+C5</f>
        <v>1 (RN12 Oeste)</v>
      </c>
      <c r="D24" s="369"/>
      <c r="E24" s="272" t="s">
        <v>123</v>
      </c>
      <c r="F24" s="370">
        <v>45549</v>
      </c>
      <c r="G24" s="371" t="str">
        <f>IF(WEEKDAY(F24)=2,"Lunes",IF(WEEKDAY(F24)=3,"Martes",IF(WEEKDAY(F24)=4,"Miercoles",IF(WEEKDAY(F24)=5,"Jueves",IF(WEEKDAY(F24)=6,"Viernes",IF(WEEKDAY(F24)=7,"Sabado",FALSE))))))</f>
        <v>Sabado</v>
      </c>
      <c r="H24" s="180"/>
      <c r="I24" s="271" t="s">
        <v>125</v>
      </c>
      <c r="J24" s="368" t="str">
        <f>+C5</f>
        <v>1 (RN12 Oeste)</v>
      </c>
      <c r="K24" s="369"/>
      <c r="L24" s="272" t="s">
        <v>123</v>
      </c>
      <c r="M24" s="370">
        <v>45549</v>
      </c>
      <c r="N24" s="371" t="str">
        <f>IF(WEEKDAY(M24)=2,"Lunes",IF(WEEKDAY(M24)=3,"Martes",IF(WEEKDAY(M24)=4,"Miercoles",IF(WEEKDAY(M24)=5,"Jueves",IF(WEEKDAY(M24)=6,"Viernes",IF(WEEKDAY(M24)=7,"Sabado",FALSE))))))</f>
        <v>Sabado</v>
      </c>
      <c r="P24" s="271" t="s">
        <v>125</v>
      </c>
      <c r="Q24" s="368" t="str">
        <f>+Q5</f>
        <v>1 (RN12 Oeste)</v>
      </c>
      <c r="R24" s="369"/>
      <c r="S24" s="272" t="s">
        <v>123</v>
      </c>
      <c r="T24" s="370">
        <v>45549</v>
      </c>
      <c r="U24" s="371" t="str">
        <f>IF(WEEKDAY(T24)=2,"Lunes",IF(WEEKDAY(T24)=3,"Martes",IF(WEEKDAY(T24)=4,"Miercoles",IF(WEEKDAY(T24)=5,"Jueves",IF(WEEKDAY(T24)=6,"Viernes",IF(WEEKDAY(T24)=7,"Sabado",FALSE))))))</f>
        <v>Sabado</v>
      </c>
      <c r="V24" s="180"/>
      <c r="W24" s="271" t="s">
        <v>125</v>
      </c>
      <c r="X24" s="368" t="str">
        <f>+Q5</f>
        <v>1 (RN12 Oeste)</v>
      </c>
      <c r="Y24" s="369"/>
      <c r="Z24" s="272" t="s">
        <v>123</v>
      </c>
      <c r="AA24" s="370">
        <v>45549</v>
      </c>
      <c r="AB24" s="371" t="str">
        <f>IF(WEEKDAY(AA24)=2,"Lunes",IF(WEEKDAY(AA24)=3,"Martes",IF(WEEKDAY(AA24)=4,"Miercoles",IF(WEEKDAY(AA24)=5,"Jueves",IF(WEEKDAY(AA24)=6,"Viernes",IF(WEEKDAY(AA24)=7,"Sabado",FALSE))))))</f>
        <v>Sabado</v>
      </c>
    </row>
    <row r="25" spans="2:28" ht="15.75" thickBot="1">
      <c r="B25" s="282" t="s">
        <v>122</v>
      </c>
      <c r="C25" s="283">
        <v>0.375</v>
      </c>
      <c r="D25" s="284" t="s">
        <v>120</v>
      </c>
      <c r="E25" s="285" t="s">
        <v>121</v>
      </c>
      <c r="F25" s="283">
        <v>0.41666666666666669</v>
      </c>
      <c r="G25" s="286" t="s">
        <v>120</v>
      </c>
      <c r="H25" s="180"/>
      <c r="I25" s="282" t="s">
        <v>122</v>
      </c>
      <c r="J25" s="283">
        <f>+F25</f>
        <v>0.41666666666666669</v>
      </c>
      <c r="K25" s="284" t="s">
        <v>120</v>
      </c>
      <c r="L25" s="285" t="s">
        <v>121</v>
      </c>
      <c r="M25" s="283">
        <v>0.45833333333333331</v>
      </c>
      <c r="N25" s="286" t="s">
        <v>120</v>
      </c>
      <c r="P25" s="282" t="s">
        <v>122</v>
      </c>
      <c r="Q25" s="283">
        <f>+M25</f>
        <v>0.45833333333333331</v>
      </c>
      <c r="R25" s="284" t="s">
        <v>120</v>
      </c>
      <c r="S25" s="285" t="s">
        <v>121</v>
      </c>
      <c r="T25" s="283">
        <v>0.5</v>
      </c>
      <c r="U25" s="286" t="s">
        <v>120</v>
      </c>
      <c r="V25" s="180"/>
      <c r="W25" s="282" t="s">
        <v>122</v>
      </c>
      <c r="X25" s="283">
        <f>+T25</f>
        <v>0.5</v>
      </c>
      <c r="Y25" s="284" t="s">
        <v>120</v>
      </c>
      <c r="Z25" s="285" t="s">
        <v>121</v>
      </c>
      <c r="AA25" s="283">
        <v>0.54166666666666663</v>
      </c>
      <c r="AB25" s="286" t="s">
        <v>120</v>
      </c>
    </row>
    <row r="26" spans="2:28" ht="15.75" thickBot="1">
      <c r="H26" s="180"/>
      <c r="V26" s="180"/>
    </row>
    <row r="27" spans="2:28">
      <c r="B27" s="507" t="s">
        <v>119</v>
      </c>
      <c r="C27" s="508"/>
      <c r="D27" s="526" t="s">
        <v>118</v>
      </c>
      <c r="E27" s="527"/>
      <c r="F27" s="527"/>
      <c r="G27" s="528"/>
      <c r="I27" s="507" t="s">
        <v>119</v>
      </c>
      <c r="J27" s="508"/>
      <c r="K27" s="526" t="s">
        <v>118</v>
      </c>
      <c r="L27" s="527"/>
      <c r="M27" s="527"/>
      <c r="N27" s="528"/>
      <c r="P27" s="507" t="s">
        <v>119</v>
      </c>
      <c r="Q27" s="508"/>
      <c r="R27" s="526" t="s">
        <v>118</v>
      </c>
      <c r="S27" s="527"/>
      <c r="T27" s="527"/>
      <c r="U27" s="528"/>
      <c r="W27" s="507" t="s">
        <v>119</v>
      </c>
      <c r="X27" s="508"/>
      <c r="Y27" s="526" t="s">
        <v>118</v>
      </c>
      <c r="Z27" s="527"/>
      <c r="AA27" s="527"/>
      <c r="AB27" s="528"/>
    </row>
    <row r="28" spans="2:28">
      <c r="B28" s="509"/>
      <c r="C28" s="510"/>
      <c r="D28" s="513" t="s">
        <v>117</v>
      </c>
      <c r="E28" s="513"/>
      <c r="F28" s="513" t="s">
        <v>116</v>
      </c>
      <c r="G28" s="513"/>
      <c r="H28" s="180"/>
      <c r="I28" s="509"/>
      <c r="J28" s="510"/>
      <c r="K28" s="513" t="s">
        <v>117</v>
      </c>
      <c r="L28" s="513"/>
      <c r="M28" s="513" t="s">
        <v>116</v>
      </c>
      <c r="N28" s="513"/>
      <c r="P28" s="509"/>
      <c r="Q28" s="510"/>
      <c r="R28" s="513" t="s">
        <v>117</v>
      </c>
      <c r="S28" s="513"/>
      <c r="T28" s="513" t="s">
        <v>116</v>
      </c>
      <c r="U28" s="513"/>
      <c r="V28" s="180"/>
      <c r="W28" s="509"/>
      <c r="X28" s="510"/>
      <c r="Y28" s="513" t="s">
        <v>117</v>
      </c>
      <c r="Z28" s="513"/>
      <c r="AA28" s="513" t="s">
        <v>116</v>
      </c>
      <c r="AB28" s="513"/>
    </row>
    <row r="29" spans="2:28" ht="15.75" thickBot="1">
      <c r="B29" s="511"/>
      <c r="C29" s="512"/>
      <c r="D29" s="523" t="s">
        <v>237</v>
      </c>
      <c r="E29" s="525"/>
      <c r="F29" s="523" t="s">
        <v>237</v>
      </c>
      <c r="G29" s="524"/>
      <c r="H29" s="180"/>
      <c r="I29" s="511"/>
      <c r="J29" s="512"/>
      <c r="K29" s="523" t="s">
        <v>237</v>
      </c>
      <c r="L29" s="525"/>
      <c r="M29" s="523" t="s">
        <v>237</v>
      </c>
      <c r="N29" s="524"/>
      <c r="O29" s="180"/>
      <c r="P29" s="511"/>
      <c r="Q29" s="512"/>
      <c r="R29" s="523" t="s">
        <v>237</v>
      </c>
      <c r="S29" s="525"/>
      <c r="T29" s="523" t="s">
        <v>237</v>
      </c>
      <c r="U29" s="524"/>
      <c r="V29" s="180"/>
      <c r="W29" s="511"/>
      <c r="X29" s="512"/>
      <c r="Y29" s="523" t="s">
        <v>237</v>
      </c>
      <c r="Z29" s="525"/>
      <c r="AA29" s="523" t="s">
        <v>237</v>
      </c>
      <c r="AB29" s="524"/>
    </row>
    <row r="30" spans="2:28" ht="15.75" thickTop="1">
      <c r="B30" s="274" t="s">
        <v>115</v>
      </c>
      <c r="C30" s="287"/>
      <c r="D30" s="516">
        <v>4</v>
      </c>
      <c r="E30" s="517"/>
      <c r="F30" s="516">
        <v>2</v>
      </c>
      <c r="G30" s="521"/>
      <c r="H30" s="180"/>
      <c r="I30" s="274" t="s">
        <v>115</v>
      </c>
      <c r="J30" s="287"/>
      <c r="K30" s="514">
        <v>1</v>
      </c>
      <c r="L30" s="515"/>
      <c r="M30" s="514">
        <v>2</v>
      </c>
      <c r="N30" s="520"/>
      <c r="P30" s="274" t="s">
        <v>115</v>
      </c>
      <c r="Q30" s="287"/>
      <c r="R30" s="514">
        <v>6</v>
      </c>
      <c r="S30" s="515"/>
      <c r="T30" s="514">
        <v>8</v>
      </c>
      <c r="U30" s="520"/>
      <c r="V30" s="180"/>
      <c r="W30" s="274" t="s">
        <v>115</v>
      </c>
      <c r="X30" s="287"/>
      <c r="Y30" s="514">
        <v>4</v>
      </c>
      <c r="Z30" s="515"/>
      <c r="AA30" s="514">
        <v>2</v>
      </c>
      <c r="AB30" s="520"/>
    </row>
    <row r="31" spans="2:28">
      <c r="B31" s="288" t="s">
        <v>114</v>
      </c>
      <c r="C31" s="289"/>
      <c r="D31" s="516">
        <v>107</v>
      </c>
      <c r="E31" s="517"/>
      <c r="F31" s="516">
        <v>88</v>
      </c>
      <c r="G31" s="521"/>
      <c r="H31" s="180"/>
      <c r="I31" s="288" t="s">
        <v>114</v>
      </c>
      <c r="J31" s="289"/>
      <c r="K31" s="516">
        <v>77</v>
      </c>
      <c r="L31" s="517"/>
      <c r="M31" s="516">
        <v>95</v>
      </c>
      <c r="N31" s="521"/>
      <c r="P31" s="288" t="s">
        <v>114</v>
      </c>
      <c r="Q31" s="289"/>
      <c r="R31" s="516">
        <v>97</v>
      </c>
      <c r="S31" s="517"/>
      <c r="T31" s="516">
        <v>78</v>
      </c>
      <c r="U31" s="521"/>
      <c r="V31" s="180"/>
      <c r="W31" s="288" t="s">
        <v>114</v>
      </c>
      <c r="X31" s="289"/>
      <c r="Y31" s="516">
        <v>105</v>
      </c>
      <c r="Z31" s="517"/>
      <c r="AA31" s="516">
        <v>94</v>
      </c>
      <c r="AB31" s="521"/>
    </row>
    <row r="32" spans="2:28">
      <c r="B32" s="288" t="s">
        <v>113</v>
      </c>
      <c r="C32" s="289"/>
      <c r="D32" s="516">
        <v>3</v>
      </c>
      <c r="E32" s="517"/>
      <c r="F32" s="516">
        <v>1</v>
      </c>
      <c r="G32" s="521"/>
      <c r="H32" s="180"/>
      <c r="I32" s="288" t="s">
        <v>113</v>
      </c>
      <c r="J32" s="289"/>
      <c r="K32" s="516">
        <v>1</v>
      </c>
      <c r="L32" s="517"/>
      <c r="M32" s="516">
        <v>1</v>
      </c>
      <c r="N32" s="521"/>
      <c r="P32" s="288" t="s">
        <v>113</v>
      </c>
      <c r="Q32" s="289"/>
      <c r="R32" s="516">
        <v>5</v>
      </c>
      <c r="S32" s="517"/>
      <c r="T32" s="516">
        <v>3</v>
      </c>
      <c r="U32" s="521"/>
      <c r="V32" s="180"/>
      <c r="W32" s="288" t="s">
        <v>113</v>
      </c>
      <c r="X32" s="289"/>
      <c r="Y32" s="516">
        <v>3</v>
      </c>
      <c r="Z32" s="517"/>
      <c r="AA32" s="516">
        <v>2</v>
      </c>
      <c r="AB32" s="521"/>
    </row>
    <row r="33" spans="1:29">
      <c r="B33" s="288" t="s">
        <v>112</v>
      </c>
      <c r="C33" s="289"/>
      <c r="D33" s="516">
        <v>5</v>
      </c>
      <c r="E33" s="517"/>
      <c r="F33" s="516">
        <v>9</v>
      </c>
      <c r="G33" s="521"/>
      <c r="H33" s="180"/>
      <c r="I33" s="288" t="s">
        <v>112</v>
      </c>
      <c r="J33" s="289"/>
      <c r="K33" s="516">
        <v>8</v>
      </c>
      <c r="L33" s="517"/>
      <c r="M33" s="516">
        <v>5</v>
      </c>
      <c r="N33" s="521"/>
      <c r="P33" s="288" t="s">
        <v>112</v>
      </c>
      <c r="Q33" s="289"/>
      <c r="R33" s="516">
        <v>5</v>
      </c>
      <c r="S33" s="517"/>
      <c r="T33" s="516">
        <v>10</v>
      </c>
      <c r="U33" s="521"/>
      <c r="V33" s="180"/>
      <c r="W33" s="288" t="s">
        <v>112</v>
      </c>
      <c r="X33" s="289"/>
      <c r="Y33" s="516">
        <v>6</v>
      </c>
      <c r="Z33" s="517"/>
      <c r="AA33" s="516">
        <v>9</v>
      </c>
      <c r="AB33" s="521"/>
    </row>
    <row r="34" spans="1:29">
      <c r="B34" s="288" t="s">
        <v>111</v>
      </c>
      <c r="C34" s="289"/>
      <c r="D34" s="516">
        <v>7</v>
      </c>
      <c r="E34" s="517"/>
      <c r="F34" s="516">
        <v>5</v>
      </c>
      <c r="G34" s="521"/>
      <c r="H34" s="180"/>
      <c r="I34" s="288" t="s">
        <v>111</v>
      </c>
      <c r="J34" s="289"/>
      <c r="K34" s="516">
        <v>8</v>
      </c>
      <c r="L34" s="517"/>
      <c r="M34" s="516">
        <v>3</v>
      </c>
      <c r="N34" s="521"/>
      <c r="P34" s="288" t="s">
        <v>111</v>
      </c>
      <c r="Q34" s="289"/>
      <c r="R34" s="516">
        <v>2</v>
      </c>
      <c r="S34" s="517"/>
      <c r="T34" s="516">
        <v>5</v>
      </c>
      <c r="U34" s="521"/>
      <c r="V34" s="180"/>
      <c r="W34" s="288" t="s">
        <v>111</v>
      </c>
      <c r="X34" s="289"/>
      <c r="Y34" s="516">
        <v>6</v>
      </c>
      <c r="Z34" s="517"/>
      <c r="AA34" s="516">
        <v>4</v>
      </c>
      <c r="AB34" s="521"/>
    </row>
    <row r="35" spans="1:29">
      <c r="B35" s="288" t="s">
        <v>110</v>
      </c>
      <c r="C35" s="289"/>
      <c r="D35" s="516">
        <v>7</v>
      </c>
      <c r="E35" s="517"/>
      <c r="F35" s="516">
        <v>4</v>
      </c>
      <c r="G35" s="521"/>
      <c r="H35" s="180"/>
      <c r="I35" s="288" t="s">
        <v>110</v>
      </c>
      <c r="J35" s="289"/>
      <c r="K35" s="516">
        <v>6</v>
      </c>
      <c r="L35" s="517"/>
      <c r="M35" s="516">
        <v>5</v>
      </c>
      <c r="N35" s="521"/>
      <c r="P35" s="288" t="s">
        <v>110</v>
      </c>
      <c r="Q35" s="289"/>
      <c r="R35" s="516">
        <v>8</v>
      </c>
      <c r="S35" s="517"/>
      <c r="T35" s="516">
        <v>5</v>
      </c>
      <c r="U35" s="521"/>
      <c r="V35" s="180"/>
      <c r="W35" s="288" t="s">
        <v>110</v>
      </c>
      <c r="X35" s="289"/>
      <c r="Y35" s="516">
        <v>4</v>
      </c>
      <c r="Z35" s="517"/>
      <c r="AA35" s="516">
        <v>5</v>
      </c>
      <c r="AB35" s="521"/>
    </row>
    <row r="36" spans="1:29" ht="15.75" thickBot="1">
      <c r="B36" s="290" t="s">
        <v>109</v>
      </c>
      <c r="C36" s="291"/>
      <c r="D36" s="518">
        <v>0</v>
      </c>
      <c r="E36" s="519"/>
      <c r="F36" s="518">
        <v>2</v>
      </c>
      <c r="G36" s="522"/>
      <c r="H36" s="180"/>
      <c r="I36" s="290" t="s">
        <v>109</v>
      </c>
      <c r="J36" s="291"/>
      <c r="K36" s="518">
        <v>1</v>
      </c>
      <c r="L36" s="519"/>
      <c r="M36" s="518">
        <v>1</v>
      </c>
      <c r="N36" s="522"/>
      <c r="P36" s="290" t="s">
        <v>109</v>
      </c>
      <c r="Q36" s="291"/>
      <c r="R36" s="518">
        <v>1</v>
      </c>
      <c r="S36" s="519"/>
      <c r="T36" s="518">
        <v>1</v>
      </c>
      <c r="U36" s="522"/>
      <c r="V36" s="180"/>
      <c r="W36" s="290" t="s">
        <v>109</v>
      </c>
      <c r="X36" s="291"/>
      <c r="Y36" s="518">
        <v>0</v>
      </c>
      <c r="Z36" s="519"/>
      <c r="AA36" s="518">
        <v>0</v>
      </c>
      <c r="AB36" s="522"/>
    </row>
    <row r="37" spans="1:29" ht="15.75" thickBot="1">
      <c r="H37" s="180"/>
      <c r="V37" s="180"/>
    </row>
    <row r="38" spans="1:29" ht="15.75" thickBot="1">
      <c r="D38" s="292" t="s">
        <v>46</v>
      </c>
      <c r="E38" s="296">
        <f>+'Cálculo TMDA'!E10</f>
        <v>244.07781175950919</v>
      </c>
      <c r="F38" s="294" t="s">
        <v>234</v>
      </c>
      <c r="G38" s="179">
        <f>+SUM(D30:G36)</f>
        <v>244</v>
      </c>
      <c r="H38" s="180"/>
      <c r="K38" s="292" t="s">
        <v>46</v>
      </c>
      <c r="L38" s="296">
        <f>+'Cálculo TMDA'!E11</f>
        <v>213.77971345005565</v>
      </c>
      <c r="M38" s="294" t="s">
        <v>234</v>
      </c>
      <c r="N38" s="179">
        <f>+SUM(K30:N36)</f>
        <v>214</v>
      </c>
      <c r="O38" s="180"/>
      <c r="R38" s="292" t="s">
        <v>46</v>
      </c>
      <c r="S38" s="296">
        <f>+'Cálculo TMDA'!E12</f>
        <v>233.70803189573817</v>
      </c>
      <c r="T38" s="294" t="s">
        <v>234</v>
      </c>
      <c r="U38" s="179">
        <f>+SUM(R30:U36)</f>
        <v>234</v>
      </c>
      <c r="V38" s="332"/>
      <c r="Y38" s="292" t="s">
        <v>46</v>
      </c>
      <c r="Z38" s="296">
        <f>+'Cálculo TMDA'!E13</f>
        <v>244.07781175950919</v>
      </c>
      <c r="AA38" s="294" t="s">
        <v>234</v>
      </c>
      <c r="AC38" s="179">
        <f>+SUM(Y30:AB36)</f>
        <v>244</v>
      </c>
    </row>
    <row r="39" spans="1:29" ht="15.75" thickBot="1">
      <c r="D39" s="529" t="s">
        <v>233</v>
      </c>
      <c r="E39" s="530"/>
      <c r="F39" s="297">
        <v>0.16800000000000001</v>
      </c>
      <c r="G39" s="372">
        <f>+SUM(D32:G35)/G38</f>
        <v>0.16803278688524589</v>
      </c>
      <c r="H39" s="180"/>
      <c r="K39" s="529" t="s">
        <v>233</v>
      </c>
      <c r="L39" s="530"/>
      <c r="M39" s="297">
        <v>0.17307500000000001</v>
      </c>
      <c r="N39" s="372">
        <f>+SUM(K32:N35)/N38</f>
        <v>0.17289719626168223</v>
      </c>
      <c r="O39" s="328"/>
      <c r="R39" s="529" t="s">
        <v>233</v>
      </c>
      <c r="S39" s="530"/>
      <c r="T39" s="297">
        <v>0.18399025299999999</v>
      </c>
      <c r="U39" s="372">
        <f>+SUM(R32:U35)/U38</f>
        <v>0.18376068376068377</v>
      </c>
      <c r="V39" s="180"/>
      <c r="Y39" s="529" t="s">
        <v>233</v>
      </c>
      <c r="Z39" s="530"/>
      <c r="AA39" s="297">
        <v>0.15978500000000001</v>
      </c>
      <c r="AC39" s="372">
        <f>+SUM(Y32:AB35)/AC38</f>
        <v>0.1598360655737705</v>
      </c>
    </row>
    <row r="40" spans="1:29">
      <c r="D40" s="180"/>
      <c r="E40" s="181"/>
      <c r="F40" s="181"/>
      <c r="G40" s="180"/>
      <c r="H40" s="180"/>
      <c r="I40" s="180"/>
      <c r="J40" s="180"/>
      <c r="K40" s="180"/>
      <c r="L40" s="181"/>
      <c r="M40" s="181"/>
      <c r="N40" s="180"/>
      <c r="O40" s="328"/>
      <c r="P40" s="180"/>
      <c r="Q40" s="180"/>
      <c r="R40" s="180"/>
      <c r="S40" s="181"/>
      <c r="T40" s="181"/>
      <c r="U40" s="180"/>
      <c r="V40" s="180"/>
      <c r="W40" s="180"/>
      <c r="X40" s="180"/>
      <c r="Y40" s="180"/>
      <c r="Z40" s="181"/>
      <c r="AA40" s="181"/>
      <c r="AB40" s="180"/>
    </row>
    <row r="41" spans="1:29" s="5" customFormat="1">
      <c r="A41" s="214"/>
      <c r="F41" s="183"/>
      <c r="L41" s="183"/>
      <c r="M41" s="183"/>
      <c r="O41" s="328"/>
      <c r="S41" s="183"/>
      <c r="T41" s="183"/>
      <c r="V41" s="260"/>
      <c r="Z41" s="183"/>
      <c r="AA41" s="183"/>
    </row>
    <row r="42" spans="1:29" s="5" customFormat="1" ht="15.75" thickBot="1">
      <c r="A42" s="214"/>
      <c r="B42" s="502" t="s">
        <v>240</v>
      </c>
      <c r="C42" s="502"/>
      <c r="D42" s="502"/>
      <c r="E42" s="502"/>
      <c r="F42" s="183"/>
      <c r="O42" s="328"/>
      <c r="V42" s="183"/>
    </row>
    <row r="43" spans="1:29" s="5" customFormat="1" ht="39.75" thickTop="1" thickBot="1">
      <c r="A43" s="214"/>
      <c r="B43" s="531" t="s">
        <v>119</v>
      </c>
      <c r="C43" s="532"/>
      <c r="D43" s="184" t="s">
        <v>244</v>
      </c>
      <c r="E43" s="209" t="s">
        <v>187</v>
      </c>
      <c r="F43" s="183"/>
      <c r="G43" s="506" t="s">
        <v>207</v>
      </c>
      <c r="H43" s="502"/>
      <c r="I43" s="502"/>
      <c r="J43" s="502"/>
      <c r="K43" s="502"/>
      <c r="L43" s="502"/>
      <c r="M43" s="502"/>
      <c r="N43" s="306"/>
      <c r="V43" s="183"/>
    </row>
    <row r="44" spans="1:29" s="5" customFormat="1" ht="16.5" thickTop="1" thickBot="1">
      <c r="A44" s="214"/>
      <c r="B44" s="218" t="s">
        <v>113</v>
      </c>
      <c r="C44" s="217"/>
      <c r="D44" s="259">
        <f>SUM(D13:F13,K13:M13,R13:U13,Y13:AB13)*5/7+SUM(D32:G32,K32:N32,R32:U32,Y32:AB32)*2/7</f>
        <v>21.857142857142854</v>
      </c>
      <c r="E44" s="233">
        <f>+D44/$D$48</f>
        <v>0.11249999999999999</v>
      </c>
      <c r="F44" s="183"/>
      <c r="J44" s="186"/>
      <c r="K44" s="180"/>
      <c r="M44" s="183"/>
      <c r="N44" s="183"/>
      <c r="O44" s="183"/>
      <c r="V44" s="183"/>
      <c r="X44" s="183"/>
      <c r="Y44" s="183"/>
      <c r="Z44" s="183"/>
      <c r="AA44" s="183"/>
      <c r="AB44" s="183"/>
    </row>
    <row r="45" spans="1:29" s="5" customFormat="1">
      <c r="A45" s="214"/>
      <c r="B45" s="218" t="s">
        <v>112</v>
      </c>
      <c r="C45" s="217"/>
      <c r="D45" s="259">
        <f>SUM(D14:F14,K14:M14,R14:U14,Y14:AB14)*5/7+SUM(D33:G33,K33:N33,R33:U33,Y33:AB33)*2/7</f>
        <v>70.571428571428569</v>
      </c>
      <c r="E45" s="233">
        <f>+D45/$D$48</f>
        <v>0.36323529411764705</v>
      </c>
      <c r="F45" s="183"/>
      <c r="G45" s="256" t="s">
        <v>129</v>
      </c>
      <c r="H45" s="256" t="s">
        <v>128</v>
      </c>
      <c r="I45" s="186"/>
      <c r="J45" s="311" t="s">
        <v>123</v>
      </c>
      <c r="K45" s="307">
        <v>45548</v>
      </c>
      <c r="L45" s="311" t="s">
        <v>123</v>
      </c>
      <c r="M45" s="307">
        <v>45549</v>
      </c>
      <c r="V45" s="183"/>
    </row>
    <row r="46" spans="1:29" s="5" customFormat="1">
      <c r="A46" s="214"/>
      <c r="B46" s="218" t="s">
        <v>111</v>
      </c>
      <c r="C46" s="217"/>
      <c r="D46" s="259">
        <f>SUM(D15:F15,K15:M15,R15:U15,Y15:AB15)*5/7+SUM(D34:G34,K34:N34,R34:U34,Y34:AB34)*2/7</f>
        <v>45.714285714285715</v>
      </c>
      <c r="E46" s="233">
        <f>+D46/$D$48</f>
        <v>0.23529411764705885</v>
      </c>
      <c r="F46" s="183"/>
      <c r="G46" s="305" t="s">
        <v>125</v>
      </c>
      <c r="H46" s="189" t="str">
        <f>+C5</f>
        <v>1 (RN12 Oeste)</v>
      </c>
      <c r="I46" s="186"/>
      <c r="J46" s="308" t="s">
        <v>205</v>
      </c>
      <c r="K46" s="309" t="s">
        <v>206</v>
      </c>
      <c r="L46" s="308" t="s">
        <v>205</v>
      </c>
      <c r="M46" s="309" t="s">
        <v>206</v>
      </c>
      <c r="V46" s="183"/>
    </row>
    <row r="47" spans="1:29" s="1" customFormat="1" ht="17.25" customHeight="1" thickBot="1">
      <c r="A47" s="186"/>
      <c r="B47" s="218" t="s">
        <v>110</v>
      </c>
      <c r="C47" s="217"/>
      <c r="D47" s="259">
        <f>SUM(D16:F16,K16:M16,R16:U16,Y16:AB16)*5/7+SUM(D35:G35,K35:N35,R35:U35,Y35:AB35)*2/7</f>
        <v>56.142857142857139</v>
      </c>
      <c r="E47" s="233">
        <f>+D47/$D$48</f>
        <v>0.28897058823529409</v>
      </c>
      <c r="F47" s="181"/>
      <c r="J47" s="498" t="str">
        <f>IF(WEEKDAY(K45)=2,"Lunes",IF(WEEKDAY(K45)=3,"Martes",IF(WEEKDAY(K45)=4,"Miercoles",IF(WEEKDAY(K45)=5,"Jueves",IF(WEEKDAY(K45)=6,"Viernes",IF(WEEKDAY(K45)=7,"Sabado",FALSE))))))</f>
        <v>Viernes</v>
      </c>
      <c r="K47" s="499"/>
      <c r="L47" s="498" t="str">
        <f>IF(WEEKDAY(M45)=2,"Lunes",IF(WEEKDAY(M45)=3,"Martes",IF(WEEKDAY(M45)=4,"Miércoles",IF(WEEKDAY(M45)=5,"Jueves",IF(WEEKDAY(M45)=6,"Viernes",IF(WEEKDAY(M45)=7,"Sábado",FALSE))))))</f>
        <v>Sábado</v>
      </c>
      <c r="M47" s="499"/>
      <c r="V47" s="181"/>
    </row>
    <row r="48" spans="1:29" ht="53.25" customHeight="1" thickTop="1" thickBot="1">
      <c r="B48" s="500" t="s">
        <v>245</v>
      </c>
      <c r="C48" s="501"/>
      <c r="D48" s="320">
        <f>+SUM(D44:D47)</f>
        <v>194.28571428571428</v>
      </c>
      <c r="E48" s="319">
        <f>+D48/$D$48</f>
        <v>1</v>
      </c>
      <c r="F48" s="180"/>
      <c r="G48" s="504" t="s">
        <v>119</v>
      </c>
      <c r="H48" s="504"/>
      <c r="I48" s="505"/>
      <c r="J48" s="312" t="s">
        <v>239</v>
      </c>
      <c r="K48" s="313" t="s">
        <v>238</v>
      </c>
      <c r="L48" s="312" t="s">
        <v>239</v>
      </c>
      <c r="M48" s="313" t="s">
        <v>238</v>
      </c>
      <c r="V48" s="180"/>
    </row>
    <row r="49" spans="2:28">
      <c r="B49" s="180"/>
      <c r="C49" s="180"/>
      <c r="D49" s="180"/>
      <c r="E49" s="180"/>
      <c r="F49" s="180"/>
      <c r="G49" s="496" t="str">
        <f>+W11</f>
        <v>Motos</v>
      </c>
      <c r="H49" s="496"/>
      <c r="I49" s="497"/>
      <c r="J49" s="310">
        <f>SUM(D11:F11,K11:M11,R11:U11,Y11:AB11)</f>
        <v>14</v>
      </c>
      <c r="K49" s="314">
        <f t="shared" ref="K49:K55" si="0">+J49/$J$57</f>
        <v>1.4644351464435146E-2</v>
      </c>
      <c r="L49" s="310">
        <f>SUM(D30:G30,K30:N30,R30:U30,Y30:AB30)</f>
        <v>29</v>
      </c>
      <c r="M49" s="314">
        <f t="shared" ref="M49:M55" si="1">+L49/$L$57</f>
        <v>3.0982905982905984E-2</v>
      </c>
      <c r="V49" s="180"/>
    </row>
    <row r="50" spans="2:28">
      <c r="B50" s="180"/>
      <c r="C50" s="180"/>
      <c r="D50" s="180"/>
      <c r="E50" s="180"/>
      <c r="F50" s="180"/>
      <c r="G50" s="496" t="str">
        <f>+W12</f>
        <v>Livianos (autos y camionetas)</v>
      </c>
      <c r="H50" s="496"/>
      <c r="I50" s="497"/>
      <c r="J50" s="310">
        <f>SUM(D12:G12,K12:N12,R12:U12,Y12:AB12)</f>
        <v>733</v>
      </c>
      <c r="K50" s="314">
        <f t="shared" si="0"/>
        <v>0.76673640167364021</v>
      </c>
      <c r="L50" s="310">
        <f t="shared" ref="L50:L55" si="2">SUM(D31:G31,K31:N31,R31:U31,Y31:AB31)</f>
        <v>741</v>
      </c>
      <c r="M50" s="314">
        <f t="shared" si="1"/>
        <v>0.79166666666666663</v>
      </c>
      <c r="V50" s="180"/>
    </row>
    <row r="51" spans="2:28">
      <c r="B51" s="180"/>
      <c r="C51" s="180"/>
      <c r="D51" s="180"/>
      <c r="E51" s="180"/>
      <c r="F51" s="180"/>
      <c r="G51" s="496" t="s">
        <v>113</v>
      </c>
      <c r="H51" s="496"/>
      <c r="I51" s="497"/>
      <c r="J51" s="310">
        <f t="shared" ref="J51:J55" si="3">SUM(D13:G13,K13:N13,R13:U13,Y13:AB13)</f>
        <v>23</v>
      </c>
      <c r="K51" s="314">
        <f t="shared" si="0"/>
        <v>2.4058577405857741E-2</v>
      </c>
      <c r="L51" s="310">
        <f t="shared" si="2"/>
        <v>19</v>
      </c>
      <c r="M51" s="314">
        <f t="shared" si="1"/>
        <v>2.02991452991453E-2</v>
      </c>
      <c r="V51" s="180"/>
    </row>
    <row r="52" spans="2:28">
      <c r="B52" s="180"/>
      <c r="C52" s="180"/>
      <c r="D52" s="180"/>
      <c r="E52" s="180"/>
      <c r="F52" s="180"/>
      <c r="G52" s="496" t="s">
        <v>112</v>
      </c>
      <c r="H52" s="496"/>
      <c r="I52" s="497"/>
      <c r="J52" s="310">
        <f>SUM(D14:G14,K14:N14,R14:U14,Y14:AB14)</f>
        <v>76</v>
      </c>
      <c r="K52" s="314">
        <f t="shared" si="0"/>
        <v>7.9497907949790794E-2</v>
      </c>
      <c r="L52" s="310">
        <f t="shared" si="2"/>
        <v>57</v>
      </c>
      <c r="M52" s="314">
        <f t="shared" si="1"/>
        <v>6.0897435897435896E-2</v>
      </c>
      <c r="V52" s="180"/>
    </row>
    <row r="53" spans="2:28">
      <c r="B53" s="180"/>
      <c r="C53" s="180"/>
      <c r="D53" s="180"/>
      <c r="E53" s="180"/>
      <c r="F53" s="180"/>
      <c r="G53" s="496" t="s">
        <v>111</v>
      </c>
      <c r="H53" s="496"/>
      <c r="I53" s="497"/>
      <c r="J53" s="310">
        <f t="shared" si="3"/>
        <v>48</v>
      </c>
      <c r="K53" s="314">
        <f t="shared" si="0"/>
        <v>5.0209205020920501E-2</v>
      </c>
      <c r="L53" s="310">
        <f t="shared" si="2"/>
        <v>40</v>
      </c>
      <c r="M53" s="314">
        <f t="shared" si="1"/>
        <v>4.2735042735042736E-2</v>
      </c>
      <c r="V53" s="180"/>
    </row>
    <row r="54" spans="2:28">
      <c r="B54" s="180"/>
      <c r="C54" s="180"/>
      <c r="D54" s="180"/>
      <c r="E54" s="180"/>
      <c r="F54" s="180"/>
      <c r="G54" s="496" t="s">
        <v>110</v>
      </c>
      <c r="H54" s="496"/>
      <c r="I54" s="503"/>
      <c r="J54" s="310">
        <f t="shared" si="3"/>
        <v>61</v>
      </c>
      <c r="K54" s="314">
        <f t="shared" si="0"/>
        <v>6.3807531380753138E-2</v>
      </c>
      <c r="L54" s="310">
        <f t="shared" si="2"/>
        <v>44</v>
      </c>
      <c r="M54" s="314">
        <f t="shared" si="1"/>
        <v>4.7008547008547008E-2</v>
      </c>
      <c r="V54" s="180"/>
    </row>
    <row r="55" spans="2:28" ht="15.75" thickBot="1">
      <c r="B55" s="180"/>
      <c r="C55" s="180"/>
      <c r="D55" s="180"/>
      <c r="E55" s="180"/>
      <c r="F55" s="180"/>
      <c r="G55" s="496" t="str">
        <f>+B36</f>
        <v>Otros</v>
      </c>
      <c r="H55" s="496"/>
      <c r="I55" s="497"/>
      <c r="J55" s="195">
        <f t="shared" si="3"/>
        <v>1</v>
      </c>
      <c r="K55" s="315">
        <f t="shared" si="0"/>
        <v>1.0460251046025104E-3</v>
      </c>
      <c r="L55" s="195">
        <f t="shared" si="2"/>
        <v>6</v>
      </c>
      <c r="M55" s="315">
        <f t="shared" si="1"/>
        <v>6.41025641025641E-3</v>
      </c>
      <c r="V55" s="180"/>
    </row>
    <row r="56" spans="2:28" ht="6" customHeight="1" thickBot="1">
      <c r="B56" s="180"/>
      <c r="C56" s="180"/>
      <c r="D56" s="180"/>
      <c r="E56" s="180"/>
      <c r="F56" s="180"/>
      <c r="V56" s="180"/>
    </row>
    <row r="57" spans="2:28" ht="15.75" thickBot="1">
      <c r="B57" s="180"/>
      <c r="C57" s="180"/>
      <c r="D57" s="180"/>
      <c r="E57" s="180"/>
      <c r="F57" s="180"/>
      <c r="I57" s="300" t="s">
        <v>46</v>
      </c>
      <c r="J57" s="301">
        <f>+SUM(J49:J55)</f>
        <v>956</v>
      </c>
      <c r="K57" s="302">
        <f>+SUM(K49:K55)</f>
        <v>1</v>
      </c>
      <c r="L57" s="301">
        <f>+SUM(L49:L55)</f>
        <v>936</v>
      </c>
      <c r="M57" s="303">
        <f>+SUM(M49:M55)</f>
        <v>1</v>
      </c>
      <c r="V57" s="180"/>
    </row>
    <row r="58" spans="2:28">
      <c r="B58" s="180"/>
      <c r="C58" s="180"/>
      <c r="D58" s="180"/>
      <c r="E58" s="180"/>
      <c r="F58" s="180"/>
      <c r="G58" s="180"/>
      <c r="H58" s="180"/>
      <c r="I58" s="180"/>
      <c r="V58" s="180"/>
      <c r="W58" s="180"/>
    </row>
    <row r="59" spans="2:28">
      <c r="B59" s="180"/>
      <c r="C59" s="180"/>
      <c r="D59" s="180"/>
      <c r="E59" s="180"/>
      <c r="F59" s="180"/>
      <c r="G59" s="180"/>
      <c r="H59" s="180"/>
      <c r="I59" s="180"/>
      <c r="P59" s="180"/>
      <c r="V59" s="180"/>
      <c r="W59" s="180"/>
    </row>
    <row r="60" spans="2:28">
      <c r="B60" s="180"/>
      <c r="C60" s="180"/>
      <c r="D60" s="180"/>
      <c r="E60" s="180"/>
      <c r="F60" s="180"/>
      <c r="G60" s="180"/>
      <c r="H60" s="180"/>
      <c r="I60" s="180"/>
      <c r="P60" s="180"/>
      <c r="V60" s="180"/>
      <c r="W60" s="180"/>
    </row>
    <row r="61" spans="2:28">
      <c r="B61" s="180"/>
      <c r="C61" s="180"/>
      <c r="D61" s="180"/>
      <c r="E61" s="180"/>
      <c r="F61" s="180"/>
      <c r="G61" s="180"/>
      <c r="H61" s="180"/>
      <c r="I61" s="180"/>
      <c r="P61" s="180"/>
      <c r="V61" s="180"/>
      <c r="W61" s="180"/>
    </row>
    <row r="62" spans="2:28">
      <c r="B62" s="180"/>
      <c r="C62" s="180"/>
      <c r="D62" s="180"/>
      <c r="E62" s="180"/>
      <c r="F62" s="180"/>
      <c r="G62" s="180"/>
      <c r="H62" s="180"/>
      <c r="I62" s="180"/>
      <c r="P62" s="180"/>
      <c r="V62" s="180"/>
      <c r="W62" s="180"/>
    </row>
    <row r="63" spans="2:28">
      <c r="B63" s="180"/>
      <c r="C63" s="180"/>
      <c r="D63" s="180"/>
      <c r="E63" s="180"/>
      <c r="F63" s="180"/>
      <c r="G63" s="180"/>
      <c r="H63" s="180"/>
      <c r="I63" s="180"/>
      <c r="P63" s="180"/>
      <c r="V63" s="180"/>
      <c r="W63" s="180"/>
    </row>
    <row r="64" spans="2:28">
      <c r="B64" s="180"/>
      <c r="C64" s="180"/>
      <c r="D64" s="180"/>
      <c r="E64" s="180"/>
      <c r="F64" s="180"/>
      <c r="G64" s="180"/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0"/>
      <c r="U64" s="180"/>
      <c r="V64" s="180"/>
      <c r="W64" s="180"/>
      <c r="X64" s="180"/>
      <c r="Y64" s="180"/>
      <c r="Z64" s="180"/>
      <c r="AA64" s="180"/>
      <c r="AB64" s="180"/>
    </row>
    <row r="65" spans="2:28">
      <c r="B65" s="180"/>
      <c r="C65" s="180"/>
      <c r="D65" s="180"/>
      <c r="E65" s="180"/>
      <c r="F65" s="180"/>
      <c r="G65" s="180"/>
      <c r="H65" s="180"/>
      <c r="I65" s="180"/>
      <c r="J65" s="180"/>
      <c r="K65" s="180"/>
      <c r="L65" s="180"/>
      <c r="M65" s="180"/>
      <c r="N65" s="180"/>
      <c r="O65" s="180"/>
      <c r="P65" s="180"/>
      <c r="Q65" s="180"/>
      <c r="R65" s="180"/>
      <c r="S65" s="180"/>
      <c r="T65" s="180"/>
      <c r="U65" s="180"/>
      <c r="V65" s="180"/>
      <c r="W65" s="180"/>
      <c r="X65" s="180"/>
      <c r="Y65" s="180"/>
      <c r="Z65" s="180"/>
      <c r="AA65" s="180"/>
      <c r="AB65" s="180"/>
    </row>
    <row r="66" spans="2:28">
      <c r="B66" s="180"/>
      <c r="C66" s="180"/>
      <c r="D66" s="180"/>
      <c r="E66" s="180"/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0"/>
      <c r="U66" s="180"/>
      <c r="V66" s="180"/>
      <c r="W66" s="180"/>
      <c r="X66" s="180"/>
      <c r="Y66" s="180"/>
      <c r="Z66" s="180"/>
      <c r="AA66" s="180"/>
      <c r="AB66" s="180"/>
    </row>
    <row r="67" spans="2:28">
      <c r="B67" s="180"/>
      <c r="C67" s="180"/>
      <c r="D67" s="180"/>
      <c r="E67" s="180"/>
      <c r="F67" s="180"/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0"/>
      <c r="U67" s="180"/>
      <c r="V67" s="180"/>
      <c r="W67" s="180"/>
      <c r="X67" s="180"/>
      <c r="Y67" s="180"/>
      <c r="Z67" s="180"/>
      <c r="AA67" s="180"/>
      <c r="AB67" s="180"/>
    </row>
    <row r="68" spans="2:28">
      <c r="B68" s="180"/>
      <c r="C68" s="180"/>
      <c r="D68" s="180"/>
      <c r="E68" s="180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0"/>
      <c r="U68" s="180"/>
      <c r="V68" s="180"/>
      <c r="W68" s="180"/>
      <c r="X68" s="180"/>
      <c r="Y68" s="180"/>
      <c r="Z68" s="180"/>
      <c r="AA68" s="180"/>
      <c r="AB68" s="180"/>
    </row>
    <row r="69" spans="2:28">
      <c r="B69" s="180"/>
      <c r="C69" s="180"/>
      <c r="D69" s="180"/>
      <c r="E69" s="180"/>
      <c r="F69" s="180"/>
      <c r="G69" s="180"/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  <c r="S69" s="180"/>
      <c r="T69" s="180"/>
      <c r="U69" s="180"/>
      <c r="V69" s="180"/>
      <c r="W69" s="180"/>
      <c r="X69" s="180"/>
      <c r="Y69" s="180"/>
      <c r="Z69" s="180"/>
      <c r="AA69" s="180"/>
      <c r="AB69" s="180"/>
    </row>
    <row r="70" spans="2:28">
      <c r="B70" s="180"/>
      <c r="C70" s="180"/>
      <c r="D70" s="180"/>
      <c r="E70" s="180"/>
      <c r="F70" s="180"/>
      <c r="G70" s="180"/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0"/>
      <c r="U70" s="180"/>
      <c r="V70" s="180"/>
      <c r="W70" s="180"/>
      <c r="X70" s="180"/>
      <c r="Y70" s="180"/>
      <c r="Z70" s="180"/>
      <c r="AA70" s="180"/>
      <c r="AB70" s="180"/>
    </row>
    <row r="71" spans="2:28">
      <c r="B71" s="18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0"/>
      <c r="U71" s="180"/>
      <c r="V71" s="180"/>
      <c r="W71" s="180"/>
      <c r="X71" s="180"/>
      <c r="Y71" s="180"/>
      <c r="Z71" s="180"/>
      <c r="AA71" s="180"/>
      <c r="AB71" s="180"/>
    </row>
    <row r="72" spans="2:28">
      <c r="B72" s="180"/>
      <c r="C72" s="180"/>
      <c r="D72" s="180"/>
      <c r="E72" s="180"/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0"/>
      <c r="U72" s="180"/>
      <c r="V72" s="180"/>
      <c r="W72" s="180"/>
      <c r="X72" s="180"/>
      <c r="Y72" s="180"/>
      <c r="Z72" s="180"/>
      <c r="AA72" s="180"/>
      <c r="AB72" s="180"/>
    </row>
    <row r="73" spans="2:28">
      <c r="B73" s="180"/>
      <c r="C73" s="180"/>
      <c r="D73" s="180"/>
      <c r="E73" s="180"/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0"/>
      <c r="U73" s="180"/>
      <c r="V73" s="180"/>
      <c r="W73" s="180"/>
      <c r="X73" s="180"/>
      <c r="Y73" s="180"/>
      <c r="Z73" s="180"/>
      <c r="AA73" s="180"/>
      <c r="AB73" s="180"/>
    </row>
    <row r="74" spans="2:28"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80"/>
      <c r="Z74" s="180"/>
      <c r="AA74" s="180"/>
      <c r="AB74" s="180"/>
    </row>
    <row r="75" spans="2:28">
      <c r="B75" s="180"/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0"/>
      <c r="U75" s="180"/>
      <c r="V75" s="180"/>
      <c r="W75" s="180"/>
      <c r="X75" s="180"/>
      <c r="Y75" s="180"/>
      <c r="Z75" s="180"/>
      <c r="AA75" s="180"/>
      <c r="AB75" s="180"/>
    </row>
    <row r="76" spans="2:28"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</row>
    <row r="77" spans="2:28">
      <c r="B77" s="180"/>
      <c r="C77" s="180"/>
      <c r="D77" s="180"/>
      <c r="E77" s="180"/>
      <c r="F77" s="180"/>
      <c r="G77" s="180"/>
      <c r="H77" s="180"/>
      <c r="I77" s="180"/>
      <c r="J77" s="180"/>
      <c r="K77" s="180"/>
      <c r="L77" s="180"/>
      <c r="M77" s="180"/>
      <c r="N77" s="180"/>
      <c r="O77" s="180"/>
      <c r="P77" s="180"/>
      <c r="Q77" s="180"/>
      <c r="R77" s="180"/>
      <c r="S77" s="180"/>
      <c r="T77" s="180"/>
      <c r="U77" s="180"/>
      <c r="V77" s="180"/>
      <c r="W77" s="180"/>
      <c r="X77" s="180"/>
      <c r="Y77" s="180"/>
      <c r="Z77" s="180"/>
      <c r="AA77" s="180"/>
      <c r="AB77" s="180"/>
    </row>
    <row r="78" spans="2:28">
      <c r="B78" s="180"/>
      <c r="C78" s="180"/>
      <c r="D78" s="180"/>
      <c r="E78" s="180"/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</row>
    <row r="79" spans="2:28">
      <c r="B79" s="180"/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0"/>
      <c r="U79" s="180"/>
      <c r="V79" s="180"/>
      <c r="W79" s="180"/>
      <c r="X79" s="180"/>
      <c r="Y79" s="180"/>
      <c r="Z79" s="180"/>
      <c r="AA79" s="180"/>
      <c r="AB79" s="180"/>
    </row>
    <row r="80" spans="2:28">
      <c r="B80" s="180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0"/>
      <c r="U80" s="180"/>
      <c r="V80" s="180"/>
      <c r="W80" s="180"/>
      <c r="X80" s="180"/>
      <c r="Y80" s="180"/>
      <c r="Z80" s="180"/>
      <c r="AA80" s="180"/>
      <c r="AB80" s="180"/>
    </row>
    <row r="81" spans="2:28"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180"/>
      <c r="N81" s="180"/>
      <c r="O81" s="180"/>
      <c r="P81" s="180"/>
      <c r="Q81" s="180"/>
      <c r="R81" s="180"/>
      <c r="S81" s="180"/>
      <c r="T81" s="180"/>
      <c r="U81" s="180"/>
      <c r="V81" s="180"/>
      <c r="W81" s="180"/>
      <c r="X81" s="180"/>
      <c r="Y81" s="180"/>
      <c r="Z81" s="180"/>
      <c r="AA81" s="180"/>
      <c r="AB81" s="180"/>
    </row>
    <row r="82" spans="2:28">
      <c r="B82" s="180"/>
      <c r="C82" s="180"/>
      <c r="D82" s="180"/>
      <c r="E82" s="180"/>
      <c r="F82" s="180"/>
      <c r="G82" s="180"/>
      <c r="H82" s="180"/>
      <c r="I82" s="180"/>
      <c r="J82" s="180"/>
      <c r="K82" s="180"/>
      <c r="L82" s="180"/>
      <c r="M82" s="180"/>
      <c r="N82" s="180"/>
      <c r="O82" s="180"/>
      <c r="P82" s="180"/>
      <c r="Q82" s="180"/>
      <c r="R82" s="180"/>
      <c r="S82" s="180"/>
      <c r="T82" s="180"/>
      <c r="U82" s="180"/>
      <c r="V82" s="180"/>
      <c r="W82" s="180"/>
      <c r="X82" s="180"/>
      <c r="Y82" s="180"/>
      <c r="Z82" s="180"/>
      <c r="AA82" s="180"/>
      <c r="AB82" s="180"/>
    </row>
    <row r="83" spans="2:28">
      <c r="B83" s="180"/>
      <c r="C83" s="180"/>
      <c r="D83" s="180"/>
      <c r="E83" s="180"/>
      <c r="F83" s="180"/>
      <c r="G83" s="180"/>
      <c r="H83" s="180"/>
      <c r="I83" s="180"/>
      <c r="J83" s="180"/>
      <c r="K83" s="180"/>
      <c r="L83" s="180"/>
      <c r="M83" s="180"/>
      <c r="N83" s="180"/>
      <c r="O83" s="180"/>
      <c r="P83" s="180"/>
      <c r="Q83" s="180"/>
      <c r="R83" s="180"/>
      <c r="S83" s="180"/>
      <c r="T83" s="180"/>
      <c r="U83" s="180"/>
      <c r="V83" s="180"/>
      <c r="W83" s="180"/>
      <c r="X83" s="180"/>
      <c r="Y83" s="180"/>
      <c r="Z83" s="180"/>
      <c r="AA83" s="180"/>
      <c r="AB83" s="180"/>
    </row>
    <row r="84" spans="2:28">
      <c r="B84" s="180"/>
      <c r="C84" s="180"/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80"/>
      <c r="S84" s="180"/>
      <c r="T84" s="180"/>
      <c r="U84" s="180"/>
      <c r="V84" s="180"/>
      <c r="W84" s="180"/>
      <c r="X84" s="180"/>
      <c r="Y84" s="180"/>
      <c r="Z84" s="180"/>
      <c r="AA84" s="180"/>
      <c r="AB84" s="180"/>
    </row>
    <row r="85" spans="2:28">
      <c r="B85" s="180"/>
      <c r="C85" s="180"/>
      <c r="D85" s="180"/>
      <c r="E85" s="180"/>
      <c r="F85" s="180"/>
      <c r="G85" s="180"/>
      <c r="H85" s="180"/>
      <c r="I85" s="180"/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</row>
    <row r="86" spans="2:28">
      <c r="B86" s="180"/>
      <c r="C86" s="180"/>
      <c r="D86" s="180"/>
      <c r="E86" s="180"/>
      <c r="F86" s="180"/>
      <c r="G86" s="180"/>
      <c r="H86" s="180"/>
      <c r="I86" s="180"/>
      <c r="J86" s="180"/>
      <c r="K86" s="180"/>
      <c r="L86" s="180"/>
      <c r="M86" s="180"/>
      <c r="N86" s="180"/>
      <c r="O86" s="180"/>
      <c r="P86" s="180"/>
      <c r="Q86" s="180"/>
      <c r="R86" s="180"/>
      <c r="S86" s="180"/>
      <c r="T86" s="180"/>
      <c r="U86" s="180"/>
      <c r="V86" s="180"/>
      <c r="W86" s="180"/>
      <c r="X86" s="180"/>
      <c r="Y86" s="180"/>
      <c r="Z86" s="180"/>
      <c r="AA86" s="180"/>
      <c r="AB86" s="180"/>
    </row>
    <row r="87" spans="2:28">
      <c r="B87" s="180"/>
      <c r="C87" s="180"/>
      <c r="D87" s="180"/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0"/>
      <c r="U87" s="180"/>
      <c r="V87" s="180"/>
      <c r="W87" s="180"/>
      <c r="X87" s="180"/>
      <c r="Y87" s="180"/>
      <c r="Z87" s="180"/>
      <c r="AA87" s="180"/>
      <c r="AB87" s="180"/>
    </row>
    <row r="88" spans="2:28">
      <c r="B88" s="180"/>
      <c r="C88" s="180"/>
      <c r="D88" s="180"/>
      <c r="E88" s="180"/>
      <c r="F88" s="180"/>
      <c r="G88" s="180"/>
      <c r="H88" s="180"/>
      <c r="I88" s="180"/>
      <c r="J88" s="180"/>
      <c r="K88" s="180"/>
      <c r="L88" s="180"/>
      <c r="M88" s="180"/>
      <c r="N88" s="180"/>
      <c r="O88" s="180"/>
      <c r="P88" s="180"/>
      <c r="Q88" s="180"/>
      <c r="R88" s="180"/>
      <c r="S88" s="180"/>
      <c r="T88" s="180"/>
      <c r="U88" s="180"/>
      <c r="V88" s="180"/>
      <c r="W88" s="180"/>
      <c r="X88" s="180"/>
      <c r="Y88" s="180"/>
      <c r="Z88" s="180"/>
      <c r="AA88" s="180"/>
      <c r="AB88" s="180"/>
    </row>
    <row r="89" spans="2:28">
      <c r="B89" s="180"/>
      <c r="C89" s="180"/>
      <c r="D89" s="180"/>
      <c r="E89" s="180"/>
      <c r="F89" s="180"/>
      <c r="G89" s="180"/>
      <c r="H89" s="180"/>
      <c r="I89" s="180"/>
      <c r="J89" s="180"/>
      <c r="K89" s="180"/>
      <c r="L89" s="180"/>
      <c r="M89" s="180"/>
      <c r="N89" s="180"/>
      <c r="O89" s="180"/>
      <c r="P89" s="180"/>
      <c r="Q89" s="180"/>
      <c r="R89" s="180"/>
      <c r="S89" s="180"/>
      <c r="T89" s="180"/>
      <c r="U89" s="180"/>
      <c r="V89" s="180"/>
      <c r="W89" s="180"/>
      <c r="X89" s="180"/>
      <c r="Y89" s="180"/>
      <c r="Z89" s="180"/>
      <c r="AA89" s="180"/>
      <c r="AB89" s="180"/>
    </row>
    <row r="90" spans="2:28">
      <c r="B90" s="180"/>
      <c r="C90" s="180"/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0"/>
      <c r="U90" s="180"/>
      <c r="V90" s="180"/>
      <c r="W90" s="180"/>
      <c r="X90" s="180"/>
      <c r="Y90" s="180"/>
      <c r="Z90" s="180"/>
      <c r="AA90" s="180"/>
      <c r="AB90" s="180"/>
    </row>
    <row r="91" spans="2:28">
      <c r="B91" s="180"/>
      <c r="C91" s="180"/>
      <c r="D91" s="180"/>
      <c r="E91" s="180"/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  <c r="S91" s="180"/>
      <c r="T91" s="180"/>
      <c r="U91" s="180"/>
      <c r="V91" s="180"/>
      <c r="W91" s="180"/>
      <c r="X91" s="180"/>
      <c r="Y91" s="180"/>
      <c r="Z91" s="180"/>
      <c r="AA91" s="180"/>
      <c r="AB91" s="180"/>
    </row>
    <row r="92" spans="2:28">
      <c r="B92" s="180"/>
      <c r="C92" s="180"/>
      <c r="D92" s="180"/>
      <c r="E92" s="180"/>
      <c r="F92" s="180"/>
      <c r="G92" s="180"/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</row>
    <row r="93" spans="2:28">
      <c r="B93" s="180"/>
      <c r="C93" s="180"/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  <c r="S93" s="180"/>
      <c r="T93" s="180"/>
      <c r="U93" s="180"/>
      <c r="V93" s="180"/>
      <c r="W93" s="180"/>
      <c r="X93" s="180"/>
      <c r="Y93" s="180"/>
      <c r="Z93" s="180"/>
      <c r="AA93" s="180"/>
      <c r="AB93" s="180"/>
    </row>
    <row r="94" spans="2:28">
      <c r="B94" s="180"/>
      <c r="C94" s="180"/>
      <c r="D94" s="180"/>
      <c r="E94" s="180"/>
      <c r="F94" s="180"/>
      <c r="G94" s="180"/>
      <c r="H94" s="180"/>
      <c r="I94" s="180"/>
      <c r="J94" s="180"/>
      <c r="K94" s="180"/>
      <c r="L94" s="180"/>
      <c r="M94" s="180"/>
      <c r="N94" s="180"/>
      <c r="O94" s="180"/>
      <c r="P94" s="180"/>
      <c r="Q94" s="180"/>
      <c r="R94" s="180"/>
      <c r="S94" s="180"/>
      <c r="T94" s="180"/>
      <c r="U94" s="180"/>
      <c r="V94" s="180"/>
      <c r="W94" s="180"/>
      <c r="X94" s="180"/>
      <c r="Y94" s="180"/>
      <c r="Z94" s="180"/>
      <c r="AA94" s="180"/>
      <c r="AB94" s="180"/>
    </row>
    <row r="95" spans="2:28">
      <c r="B95" s="180"/>
      <c r="C95" s="180"/>
      <c r="D95" s="180"/>
      <c r="E95" s="180"/>
      <c r="F95" s="180"/>
      <c r="G95" s="180"/>
      <c r="H95" s="180"/>
      <c r="I95" s="180"/>
      <c r="J95" s="180"/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</row>
    <row r="96" spans="2:28">
      <c r="B96" s="180"/>
      <c r="C96" s="180"/>
      <c r="D96" s="180"/>
      <c r="E96" s="180"/>
      <c r="F96" s="180"/>
      <c r="G96" s="180"/>
      <c r="H96" s="180"/>
      <c r="I96" s="180"/>
      <c r="J96" s="180"/>
      <c r="K96" s="180"/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</row>
    <row r="97" spans="2:28">
      <c r="B97" s="180"/>
      <c r="C97" s="180"/>
      <c r="D97" s="180"/>
      <c r="E97" s="180"/>
      <c r="F97" s="180"/>
      <c r="G97" s="180"/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  <c r="S97" s="180"/>
      <c r="T97" s="180"/>
      <c r="U97" s="180"/>
      <c r="V97" s="180"/>
      <c r="W97" s="180"/>
      <c r="X97" s="180"/>
      <c r="Y97" s="180"/>
      <c r="Z97" s="180"/>
      <c r="AA97" s="180"/>
      <c r="AB97" s="180"/>
    </row>
    <row r="98" spans="2:28">
      <c r="B98" s="180"/>
      <c r="C98" s="180"/>
      <c r="D98" s="180"/>
      <c r="E98" s="180"/>
      <c r="F98" s="180"/>
      <c r="G98" s="180"/>
      <c r="H98" s="180"/>
      <c r="I98" s="180"/>
      <c r="J98" s="180"/>
      <c r="K98" s="180"/>
      <c r="L98" s="180"/>
      <c r="M98" s="180"/>
      <c r="N98" s="180"/>
      <c r="O98" s="180"/>
      <c r="P98" s="180"/>
      <c r="Q98" s="180"/>
      <c r="R98" s="180"/>
      <c r="S98" s="180"/>
      <c r="T98" s="180"/>
      <c r="U98" s="180"/>
      <c r="V98" s="180"/>
      <c r="W98" s="180"/>
      <c r="X98" s="180"/>
      <c r="Y98" s="180"/>
      <c r="Z98" s="180"/>
      <c r="AA98" s="180"/>
      <c r="AB98" s="180"/>
    </row>
    <row r="99" spans="2:28">
      <c r="B99" s="180"/>
      <c r="C99" s="180"/>
      <c r="D99" s="180"/>
      <c r="E99" s="180"/>
      <c r="F99" s="180"/>
      <c r="G99" s="180"/>
      <c r="H99" s="180"/>
      <c r="I99" s="180"/>
      <c r="J99" s="180"/>
      <c r="K99" s="180"/>
      <c r="L99" s="180"/>
      <c r="M99" s="180"/>
      <c r="N99" s="180"/>
      <c r="O99" s="180"/>
      <c r="P99" s="180"/>
      <c r="Q99" s="180"/>
      <c r="R99" s="180"/>
      <c r="S99" s="180"/>
      <c r="T99" s="180"/>
      <c r="U99" s="180"/>
      <c r="V99" s="180"/>
      <c r="W99" s="180"/>
      <c r="X99" s="180"/>
      <c r="Y99" s="180"/>
      <c r="Z99" s="180"/>
      <c r="AA99" s="180"/>
      <c r="AB99" s="180"/>
    </row>
    <row r="100" spans="2:28">
      <c r="B100" s="180"/>
      <c r="C100" s="180"/>
      <c r="D100" s="180"/>
      <c r="E100" s="180"/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  <c r="V100" s="180"/>
      <c r="W100" s="180"/>
      <c r="X100" s="180"/>
      <c r="Y100" s="180"/>
      <c r="Z100" s="180"/>
      <c r="AA100" s="180"/>
      <c r="AB100" s="180"/>
    </row>
  </sheetData>
  <mergeCells count="182">
    <mergeCell ref="Y27:AB27"/>
    <mergeCell ref="M28:N28"/>
    <mergeCell ref="R28:S28"/>
    <mergeCell ref="T28:U28"/>
    <mergeCell ref="Y28:Z28"/>
    <mergeCell ref="AA28:AB28"/>
    <mergeCell ref="Y30:Z30"/>
    <mergeCell ref="AA30:AB30"/>
    <mergeCell ref="Y29:Z29"/>
    <mergeCell ref="AA29:AB29"/>
    <mergeCell ref="W27:X29"/>
    <mergeCell ref="D30:E30"/>
    <mergeCell ref="F30:G30"/>
    <mergeCell ref="K30:L30"/>
    <mergeCell ref="M30:N30"/>
    <mergeCell ref="R30:S30"/>
    <mergeCell ref="D8:G8"/>
    <mergeCell ref="D9:E9"/>
    <mergeCell ref="F9:G9"/>
    <mergeCell ref="B43:C43"/>
    <mergeCell ref="R27:U27"/>
    <mergeCell ref="T30:U30"/>
    <mergeCell ref="T32:U32"/>
    <mergeCell ref="T34:U34"/>
    <mergeCell ref="T36:U36"/>
    <mergeCell ref="D27:G27"/>
    <mergeCell ref="K27:N27"/>
    <mergeCell ref="D28:E28"/>
    <mergeCell ref="F28:G28"/>
    <mergeCell ref="K28:L28"/>
    <mergeCell ref="T33:U33"/>
    <mergeCell ref="D32:E32"/>
    <mergeCell ref="F32:G32"/>
    <mergeCell ref="K32:L32"/>
    <mergeCell ref="M32:N32"/>
    <mergeCell ref="D31:E31"/>
    <mergeCell ref="F31:G31"/>
    <mergeCell ref="K31:L31"/>
    <mergeCell ref="M31:N31"/>
    <mergeCell ref="R31:S31"/>
    <mergeCell ref="T31:U31"/>
    <mergeCell ref="Y31:Z31"/>
    <mergeCell ref="AA31:AB31"/>
    <mergeCell ref="F34:G34"/>
    <mergeCell ref="K34:L34"/>
    <mergeCell ref="M34:N34"/>
    <mergeCell ref="R34:S34"/>
    <mergeCell ref="D33:E33"/>
    <mergeCell ref="F33:G33"/>
    <mergeCell ref="K33:L33"/>
    <mergeCell ref="M33:N33"/>
    <mergeCell ref="R33:S33"/>
    <mergeCell ref="Y32:Z32"/>
    <mergeCell ref="AA32:AB32"/>
    <mergeCell ref="Y34:Z34"/>
    <mergeCell ref="AA34:AB34"/>
    <mergeCell ref="Y33:Z33"/>
    <mergeCell ref="AA33:AB33"/>
    <mergeCell ref="R32:S32"/>
    <mergeCell ref="D35:E35"/>
    <mergeCell ref="F35:G35"/>
    <mergeCell ref="K35:L35"/>
    <mergeCell ref="M35:N35"/>
    <mergeCell ref="R35:S35"/>
    <mergeCell ref="T35:U35"/>
    <mergeCell ref="Y35:Z35"/>
    <mergeCell ref="AA35:AB35"/>
    <mergeCell ref="D34:E34"/>
    <mergeCell ref="Y36:Z36"/>
    <mergeCell ref="AA36:AB36"/>
    <mergeCell ref="D39:E39"/>
    <mergeCell ref="K39:L39"/>
    <mergeCell ref="R39:S39"/>
    <mergeCell ref="Y39:Z39"/>
    <mergeCell ref="D36:E36"/>
    <mergeCell ref="F36:G36"/>
    <mergeCell ref="K36:L36"/>
    <mergeCell ref="M36:N36"/>
    <mergeCell ref="R36:S36"/>
    <mergeCell ref="T10:U10"/>
    <mergeCell ref="Y10:Z10"/>
    <mergeCell ref="AA10:AB10"/>
    <mergeCell ref="Y15:Z15"/>
    <mergeCell ref="AA15:AB15"/>
    <mergeCell ref="D12:E12"/>
    <mergeCell ref="D13:E13"/>
    <mergeCell ref="W8:X10"/>
    <mergeCell ref="Y8:AB8"/>
    <mergeCell ref="Y9:Z9"/>
    <mergeCell ref="AA9:AB9"/>
    <mergeCell ref="Y11:Z11"/>
    <mergeCell ref="AA11:AB11"/>
    <mergeCell ref="T9:U9"/>
    <mergeCell ref="R8:U8"/>
    <mergeCell ref="T11:U11"/>
    <mergeCell ref="T12:U12"/>
    <mergeCell ref="T13:U13"/>
    <mergeCell ref="T14:U14"/>
    <mergeCell ref="T15:U15"/>
    <mergeCell ref="R9:S9"/>
    <mergeCell ref="R11:S11"/>
    <mergeCell ref="R13:S13"/>
    <mergeCell ref="R14:S14"/>
    <mergeCell ref="Y17:Z17"/>
    <mergeCell ref="AA17:AB17"/>
    <mergeCell ref="Y12:Z12"/>
    <mergeCell ref="AA12:AB12"/>
    <mergeCell ref="Y13:Z13"/>
    <mergeCell ref="AA13:AB13"/>
    <mergeCell ref="Y14:Z14"/>
    <mergeCell ref="AA14:AB14"/>
    <mergeCell ref="R20:S20"/>
    <mergeCell ref="Y20:Z20"/>
    <mergeCell ref="T16:U16"/>
    <mergeCell ref="T17:U17"/>
    <mergeCell ref="R15:S15"/>
    <mergeCell ref="R16:S16"/>
    <mergeCell ref="R17:S17"/>
    <mergeCell ref="R12:S12"/>
    <mergeCell ref="Y16:Z16"/>
    <mergeCell ref="AA16:AB16"/>
    <mergeCell ref="D29:E29"/>
    <mergeCell ref="F29:G29"/>
    <mergeCell ref="K29:L29"/>
    <mergeCell ref="M29:N29"/>
    <mergeCell ref="R29:S29"/>
    <mergeCell ref="T29:U29"/>
    <mergeCell ref="K8:N8"/>
    <mergeCell ref="M9:N9"/>
    <mergeCell ref="K20:L20"/>
    <mergeCell ref="M14:N14"/>
    <mergeCell ref="K15:L15"/>
    <mergeCell ref="M15:N15"/>
    <mergeCell ref="K16:L16"/>
    <mergeCell ref="M16:N16"/>
    <mergeCell ref="M11:N11"/>
    <mergeCell ref="K12:L12"/>
    <mergeCell ref="M12:N12"/>
    <mergeCell ref="K13:L13"/>
    <mergeCell ref="M13:N13"/>
    <mergeCell ref="D20:E20"/>
    <mergeCell ref="D10:E10"/>
    <mergeCell ref="K10:L10"/>
    <mergeCell ref="M10:N10"/>
    <mergeCell ref="R10:S10"/>
    <mergeCell ref="B8:C10"/>
    <mergeCell ref="I8:J10"/>
    <mergeCell ref="P8:Q10"/>
    <mergeCell ref="B27:C29"/>
    <mergeCell ref="I27:J29"/>
    <mergeCell ref="K9:L9"/>
    <mergeCell ref="K11:L11"/>
    <mergeCell ref="K14:L14"/>
    <mergeCell ref="K17:L17"/>
    <mergeCell ref="D16:E16"/>
    <mergeCell ref="D17:E17"/>
    <mergeCell ref="F11:G11"/>
    <mergeCell ref="F12:G12"/>
    <mergeCell ref="F13:G13"/>
    <mergeCell ref="F14:G14"/>
    <mergeCell ref="F15:G15"/>
    <mergeCell ref="F16:G16"/>
    <mergeCell ref="F17:G17"/>
    <mergeCell ref="D11:E11"/>
    <mergeCell ref="P27:Q29"/>
    <mergeCell ref="D14:E14"/>
    <mergeCell ref="D15:E15"/>
    <mergeCell ref="M17:N17"/>
    <mergeCell ref="F10:G10"/>
    <mergeCell ref="G55:I55"/>
    <mergeCell ref="J47:K47"/>
    <mergeCell ref="L47:M47"/>
    <mergeCell ref="B48:C48"/>
    <mergeCell ref="B42:E42"/>
    <mergeCell ref="G54:I54"/>
    <mergeCell ref="G49:I49"/>
    <mergeCell ref="G50:I50"/>
    <mergeCell ref="G51:I51"/>
    <mergeCell ref="G52:I52"/>
    <mergeCell ref="G53:I53"/>
    <mergeCell ref="G48:I48"/>
    <mergeCell ref="G43:M43"/>
  </mergeCells>
  <pageMargins left="0.7" right="0.7" top="0.75" bottom="0.75" header="0.3" footer="0.3"/>
  <pageSetup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100"/>
  <sheetViews>
    <sheetView showGridLines="0" topLeftCell="B1" zoomScale="55" zoomScaleNormal="55" workbookViewId="0">
      <selection activeCell="P43" sqref="P43"/>
    </sheetView>
  </sheetViews>
  <sheetFormatPr baseColWidth="10" defaultColWidth="9.140625" defaultRowHeight="15"/>
  <cols>
    <col min="1" max="1" width="9.140625" style="179"/>
    <col min="2" max="2" width="14.7109375" style="179" customWidth="1"/>
    <col min="3" max="3" width="14.28515625" style="179" customWidth="1"/>
    <col min="4" max="5" width="12.28515625" style="179" customWidth="1"/>
    <col min="6" max="6" width="13.5703125" style="179" customWidth="1"/>
    <col min="7" max="7" width="12" style="179" customWidth="1"/>
    <col min="8" max="8" width="15.7109375" style="179" customWidth="1"/>
    <col min="9" max="9" width="13.28515625" style="179" customWidth="1"/>
    <col min="10" max="10" width="15.85546875" style="179" customWidth="1"/>
    <col min="11" max="12" width="11.85546875" style="179" customWidth="1"/>
    <col min="13" max="13" width="13" style="179" customWidth="1"/>
    <col min="14" max="14" width="10.28515625" style="179" bestFit="1" customWidth="1"/>
    <col min="15" max="15" width="9.140625" style="179"/>
    <col min="16" max="16" width="13.28515625" style="179" customWidth="1"/>
    <col min="17" max="17" width="15.85546875" style="179" customWidth="1"/>
    <col min="18" max="19" width="11.85546875" style="179" customWidth="1"/>
    <col min="20" max="20" width="13" style="179" customWidth="1"/>
    <col min="21" max="21" width="11" style="179" customWidth="1"/>
    <col min="23" max="24" width="14.85546875" style="179" customWidth="1"/>
    <col min="25" max="25" width="12" style="179" customWidth="1"/>
    <col min="26" max="26" width="11.5703125" style="179" customWidth="1"/>
    <col min="27" max="27" width="11.5703125" style="179" bestFit="1" customWidth="1"/>
    <col min="28" max="28" width="11.140625" style="179" customWidth="1"/>
  </cols>
  <sheetData>
    <row r="1" spans="2:28" ht="28.5" customHeight="1">
      <c r="B1" s="182" t="s">
        <v>130</v>
      </c>
    </row>
    <row r="2" spans="2:28" ht="15.75" thickBot="1"/>
    <row r="3" spans="2:28">
      <c r="B3" s="271" t="s">
        <v>129</v>
      </c>
      <c r="C3" s="272" t="s">
        <v>128</v>
      </c>
      <c r="D3" s="272"/>
      <c r="E3" s="272"/>
      <c r="F3" s="272"/>
      <c r="G3" s="273"/>
      <c r="H3" s="180"/>
      <c r="I3" s="271" t="s">
        <v>129</v>
      </c>
      <c r="J3" s="272" t="s">
        <v>128</v>
      </c>
      <c r="K3" s="272"/>
      <c r="L3" s="272"/>
      <c r="M3" s="272"/>
      <c r="N3" s="273"/>
      <c r="O3" s="180"/>
      <c r="P3" s="271" t="s">
        <v>129</v>
      </c>
      <c r="Q3" s="272" t="s">
        <v>128</v>
      </c>
      <c r="R3" s="272"/>
      <c r="S3" s="272"/>
      <c r="T3" s="272"/>
      <c r="U3" s="273"/>
      <c r="V3" s="180"/>
      <c r="W3" s="271" t="s">
        <v>129</v>
      </c>
      <c r="X3" s="272" t="s">
        <v>128</v>
      </c>
      <c r="Y3" s="272"/>
      <c r="Z3" s="272"/>
      <c r="AA3" s="272"/>
      <c r="AB3" s="273"/>
    </row>
    <row r="4" spans="2:28" ht="15.75" thickBot="1">
      <c r="B4" s="274" t="s">
        <v>127</v>
      </c>
      <c r="C4" s="275" t="s">
        <v>133</v>
      </c>
      <c r="D4" s="275"/>
      <c r="E4" s="275"/>
      <c r="F4" s="275"/>
      <c r="G4" s="276"/>
      <c r="H4" s="180"/>
      <c r="I4" s="274" t="s">
        <v>127</v>
      </c>
      <c r="J4" s="275" t="s">
        <v>133</v>
      </c>
      <c r="K4" s="275"/>
      <c r="L4" s="275"/>
      <c r="M4" s="275"/>
      <c r="N4" s="276"/>
      <c r="O4" s="180"/>
      <c r="P4" s="274" t="s">
        <v>127</v>
      </c>
      <c r="Q4" s="275" t="s">
        <v>133</v>
      </c>
      <c r="R4" s="275"/>
      <c r="S4" s="275"/>
      <c r="T4" s="275"/>
      <c r="U4" s="276"/>
      <c r="V4" s="180"/>
      <c r="W4" s="274" t="s">
        <v>127</v>
      </c>
      <c r="X4" s="275" t="s">
        <v>133</v>
      </c>
      <c r="Y4" s="275"/>
      <c r="Z4" s="275"/>
      <c r="AA4" s="275"/>
      <c r="AB4" s="276"/>
    </row>
    <row r="5" spans="2:28" ht="15.75">
      <c r="B5" s="271" t="s">
        <v>125</v>
      </c>
      <c r="C5" s="368" t="s">
        <v>188</v>
      </c>
      <c r="D5" s="369"/>
      <c r="E5" s="272" t="s">
        <v>123</v>
      </c>
      <c r="F5" s="370">
        <v>45548</v>
      </c>
      <c r="G5" s="371" t="str">
        <f>IF(WEEKDAY(F5)=2,"Lunes",IF(WEEKDAY(F5)=3,"Martes",IF(WEEKDAY(F5)=4,"Miercoles",IF(WEEKDAY(F5)=5,"Jueves",IF(WEEKDAY(F5)=6,"Viernes",IF(WEEKDAY(F5)=7,"Sabado",FALSE))))))</f>
        <v>Viernes</v>
      </c>
      <c r="H5" s="180"/>
      <c r="I5" s="271" t="s">
        <v>125</v>
      </c>
      <c r="J5" s="368" t="s">
        <v>188</v>
      </c>
      <c r="K5" s="369"/>
      <c r="L5" s="272" t="s">
        <v>123</v>
      </c>
      <c r="M5" s="370">
        <v>45548</v>
      </c>
      <c r="N5" s="371" t="str">
        <f>IF(WEEKDAY(M5)=2,"Lunes",IF(WEEKDAY(M5)=3,"Martes",IF(WEEKDAY(M5)=4,"Miercoles",IF(WEEKDAY(M5)=5,"Jueves",IF(WEEKDAY(M5)=6,"Viernes",IF(WEEKDAY(M5)=7,"Sabado",FALSE))))))</f>
        <v>Viernes</v>
      </c>
      <c r="O5" s="180"/>
      <c r="P5" s="271" t="s">
        <v>125</v>
      </c>
      <c r="Q5" s="368" t="s">
        <v>188</v>
      </c>
      <c r="R5" s="369"/>
      <c r="S5" s="272" t="s">
        <v>123</v>
      </c>
      <c r="T5" s="370">
        <v>45548</v>
      </c>
      <c r="U5" s="371" t="str">
        <f>IF(WEEKDAY(T5)=2,"Lunes",IF(WEEKDAY(T5)=3,"Martes",IF(WEEKDAY(T5)=4,"Miercoles",IF(WEEKDAY(T5)=5,"Jueves",IF(WEEKDAY(T5)=6,"Viernes",IF(WEEKDAY(T5)=7,"Sabado",FALSE))))))</f>
        <v>Viernes</v>
      </c>
      <c r="V5" s="180"/>
      <c r="W5" s="271" t="s">
        <v>125</v>
      </c>
      <c r="X5" s="368" t="s">
        <v>188</v>
      </c>
      <c r="Y5" s="369"/>
      <c r="Z5" s="272" t="s">
        <v>123</v>
      </c>
      <c r="AA5" s="370">
        <v>45548</v>
      </c>
      <c r="AB5" s="371" t="str">
        <f>IF(WEEKDAY(AA5)=2,"Lunes",IF(WEEKDAY(AA5)=3,"Martes",IF(WEEKDAY(AA5)=4,"Miercoles",IF(WEEKDAY(AA5)=5,"Jueves",IF(WEEKDAY(AA5)=6,"Viernes",IF(WEEKDAY(AA5)=7,"Sabado",FALSE))))))</f>
        <v>Viernes</v>
      </c>
    </row>
    <row r="6" spans="2:28" ht="15.75" thickBot="1">
      <c r="B6" s="282" t="s">
        <v>122</v>
      </c>
      <c r="C6" s="283">
        <v>0.38541666666666669</v>
      </c>
      <c r="D6" s="284" t="s">
        <v>120</v>
      </c>
      <c r="E6" s="285" t="s">
        <v>121</v>
      </c>
      <c r="F6" s="283">
        <v>0.42708333333333331</v>
      </c>
      <c r="G6" s="286" t="s">
        <v>120</v>
      </c>
      <c r="H6" s="180"/>
      <c r="I6" s="282" t="s">
        <v>122</v>
      </c>
      <c r="J6" s="283">
        <v>0.42708333333333331</v>
      </c>
      <c r="K6" s="284" t="s">
        <v>120</v>
      </c>
      <c r="L6" s="285" t="s">
        <v>121</v>
      </c>
      <c r="M6" s="283">
        <v>0.46875</v>
      </c>
      <c r="N6" s="286" t="s">
        <v>120</v>
      </c>
      <c r="O6" s="180"/>
      <c r="P6" s="282" t="s">
        <v>122</v>
      </c>
      <c r="Q6" s="283">
        <v>0.46875</v>
      </c>
      <c r="R6" s="284" t="s">
        <v>120</v>
      </c>
      <c r="S6" s="285" t="s">
        <v>121</v>
      </c>
      <c r="T6" s="283">
        <v>0.51041666666666663</v>
      </c>
      <c r="U6" s="286" t="s">
        <v>120</v>
      </c>
      <c r="V6" s="180"/>
      <c r="W6" s="282" t="s">
        <v>122</v>
      </c>
      <c r="X6" s="283">
        <v>0.51041666666666663</v>
      </c>
      <c r="Y6" s="284" t="s">
        <v>120</v>
      </c>
      <c r="Z6" s="285" t="s">
        <v>121</v>
      </c>
      <c r="AA6" s="283">
        <v>0.55208333333333337</v>
      </c>
      <c r="AB6" s="286" t="s">
        <v>120</v>
      </c>
    </row>
    <row r="7" spans="2:28" ht="15.75" thickBot="1">
      <c r="H7" s="180"/>
      <c r="O7" s="180"/>
      <c r="V7" s="180"/>
    </row>
    <row r="8" spans="2:28">
      <c r="B8" s="507" t="s">
        <v>119</v>
      </c>
      <c r="C8" s="508"/>
      <c r="D8" s="526" t="s">
        <v>118</v>
      </c>
      <c r="E8" s="527"/>
      <c r="F8" s="527"/>
      <c r="G8" s="528"/>
      <c r="H8" s="180"/>
      <c r="I8" s="507" t="s">
        <v>119</v>
      </c>
      <c r="J8" s="508"/>
      <c r="K8" s="526" t="s">
        <v>118</v>
      </c>
      <c r="L8" s="527"/>
      <c r="M8" s="527"/>
      <c r="N8" s="528"/>
      <c r="O8" s="180"/>
      <c r="P8" s="507" t="s">
        <v>119</v>
      </c>
      <c r="Q8" s="508"/>
      <c r="R8" s="526" t="s">
        <v>118</v>
      </c>
      <c r="S8" s="527"/>
      <c r="T8" s="527"/>
      <c r="U8" s="528"/>
      <c r="V8" s="180"/>
      <c r="W8" s="507" t="s">
        <v>119</v>
      </c>
      <c r="X8" s="508"/>
      <c r="Y8" s="526" t="s">
        <v>118</v>
      </c>
      <c r="Z8" s="527"/>
      <c r="AA8" s="527"/>
      <c r="AB8" s="528"/>
    </row>
    <row r="9" spans="2:28">
      <c r="B9" s="509"/>
      <c r="C9" s="510"/>
      <c r="D9" s="513" t="s">
        <v>132</v>
      </c>
      <c r="E9" s="513"/>
      <c r="F9" s="536" t="s">
        <v>131</v>
      </c>
      <c r="G9" s="537"/>
      <c r="H9" s="180"/>
      <c r="I9" s="509"/>
      <c r="J9" s="510"/>
      <c r="K9" s="513" t="s">
        <v>132</v>
      </c>
      <c r="L9" s="513"/>
      <c r="M9" s="536" t="s">
        <v>131</v>
      </c>
      <c r="N9" s="537"/>
      <c r="O9" s="180"/>
      <c r="P9" s="509"/>
      <c r="Q9" s="510"/>
      <c r="R9" s="513" t="s">
        <v>132</v>
      </c>
      <c r="S9" s="513"/>
      <c r="T9" s="536" t="s">
        <v>131</v>
      </c>
      <c r="U9" s="537"/>
      <c r="V9" s="180"/>
      <c r="W9" s="509"/>
      <c r="X9" s="510"/>
      <c r="Y9" s="513" t="s">
        <v>132</v>
      </c>
      <c r="Z9" s="513"/>
      <c r="AA9" s="536" t="s">
        <v>131</v>
      </c>
      <c r="AB9" s="537"/>
    </row>
    <row r="10" spans="2:28" ht="15.75" thickBot="1">
      <c r="B10" s="511"/>
      <c r="C10" s="512"/>
      <c r="D10" s="523" t="s">
        <v>237</v>
      </c>
      <c r="E10" s="525"/>
      <c r="F10" s="523" t="s">
        <v>237</v>
      </c>
      <c r="G10" s="524"/>
      <c r="H10" s="180"/>
      <c r="I10" s="511"/>
      <c r="J10" s="512"/>
      <c r="K10" s="523" t="s">
        <v>237</v>
      </c>
      <c r="L10" s="525"/>
      <c r="M10" s="523" t="s">
        <v>237</v>
      </c>
      <c r="N10" s="524"/>
      <c r="O10" s="180"/>
      <c r="P10" s="511"/>
      <c r="Q10" s="512"/>
      <c r="R10" s="523" t="s">
        <v>237</v>
      </c>
      <c r="S10" s="525"/>
      <c r="T10" s="523" t="s">
        <v>237</v>
      </c>
      <c r="U10" s="524"/>
      <c r="V10" s="180"/>
      <c r="W10" s="511"/>
      <c r="X10" s="512"/>
      <c r="Y10" s="523" t="s">
        <v>237</v>
      </c>
      <c r="Z10" s="525"/>
      <c r="AA10" s="523" t="s">
        <v>237</v>
      </c>
      <c r="AB10" s="524"/>
    </row>
    <row r="11" spans="2:28" ht="15.75" thickTop="1">
      <c r="B11" s="274" t="s">
        <v>115</v>
      </c>
      <c r="C11" s="287"/>
      <c r="D11" s="514">
        <v>1</v>
      </c>
      <c r="E11" s="515"/>
      <c r="F11" s="514">
        <v>5</v>
      </c>
      <c r="G11" s="520"/>
      <c r="H11" s="180"/>
      <c r="I11" s="274" t="s">
        <v>115</v>
      </c>
      <c r="J11" s="287"/>
      <c r="K11" s="514">
        <v>2</v>
      </c>
      <c r="L11" s="515"/>
      <c r="M11" s="514">
        <v>9</v>
      </c>
      <c r="N11" s="520"/>
      <c r="O11" s="180"/>
      <c r="P11" s="274" t="s">
        <v>115</v>
      </c>
      <c r="Q11" s="287"/>
      <c r="R11" s="514">
        <v>7</v>
      </c>
      <c r="S11" s="515"/>
      <c r="T11" s="514">
        <v>7</v>
      </c>
      <c r="U11" s="520"/>
      <c r="V11" s="180"/>
      <c r="W11" s="274" t="s">
        <v>115</v>
      </c>
      <c r="X11" s="287"/>
      <c r="Y11" s="514">
        <v>3</v>
      </c>
      <c r="Z11" s="515"/>
      <c r="AA11" s="514">
        <v>10</v>
      </c>
      <c r="AB11" s="520"/>
    </row>
    <row r="12" spans="2:28">
      <c r="B12" s="288" t="s">
        <v>114</v>
      </c>
      <c r="C12" s="289"/>
      <c r="D12" s="516">
        <v>65</v>
      </c>
      <c r="E12" s="517"/>
      <c r="F12" s="516">
        <v>81</v>
      </c>
      <c r="G12" s="521"/>
      <c r="H12" s="180"/>
      <c r="I12" s="288" t="s">
        <v>114</v>
      </c>
      <c r="J12" s="289"/>
      <c r="K12" s="516">
        <v>75</v>
      </c>
      <c r="L12" s="517"/>
      <c r="M12" s="516">
        <v>89</v>
      </c>
      <c r="N12" s="521"/>
      <c r="O12" s="180"/>
      <c r="P12" s="288" t="s">
        <v>114</v>
      </c>
      <c r="Q12" s="289"/>
      <c r="R12" s="516">
        <v>76</v>
      </c>
      <c r="S12" s="517"/>
      <c r="T12" s="516">
        <v>74</v>
      </c>
      <c r="U12" s="521"/>
      <c r="V12" s="180"/>
      <c r="W12" s="288" t="s">
        <v>114</v>
      </c>
      <c r="X12" s="289"/>
      <c r="Y12" s="516">
        <v>75</v>
      </c>
      <c r="Z12" s="517"/>
      <c r="AA12" s="516">
        <v>68</v>
      </c>
      <c r="AB12" s="521"/>
    </row>
    <row r="13" spans="2:28">
      <c r="B13" s="288" t="s">
        <v>113</v>
      </c>
      <c r="C13" s="289"/>
      <c r="D13" s="516">
        <v>0</v>
      </c>
      <c r="E13" s="517"/>
      <c r="F13" s="516">
        <v>0</v>
      </c>
      <c r="G13" s="521"/>
      <c r="H13" s="180"/>
      <c r="I13" s="288" t="s">
        <v>113</v>
      </c>
      <c r="J13" s="289"/>
      <c r="K13" s="516">
        <v>3</v>
      </c>
      <c r="L13" s="517"/>
      <c r="M13" s="516">
        <v>1</v>
      </c>
      <c r="N13" s="521"/>
      <c r="O13" s="180"/>
      <c r="P13" s="288" t="s">
        <v>113</v>
      </c>
      <c r="Q13" s="289"/>
      <c r="R13" s="516">
        <v>1</v>
      </c>
      <c r="S13" s="517"/>
      <c r="T13" s="516">
        <v>2</v>
      </c>
      <c r="U13" s="521"/>
      <c r="V13" s="180"/>
      <c r="W13" s="288" t="s">
        <v>113</v>
      </c>
      <c r="X13" s="289"/>
      <c r="Y13" s="516">
        <v>0</v>
      </c>
      <c r="Z13" s="517"/>
      <c r="AA13" s="516">
        <v>2</v>
      </c>
      <c r="AB13" s="521"/>
    </row>
    <row r="14" spans="2:28">
      <c r="B14" s="288" t="s">
        <v>112</v>
      </c>
      <c r="C14" s="289"/>
      <c r="D14" s="516">
        <v>3</v>
      </c>
      <c r="E14" s="517"/>
      <c r="F14" s="516">
        <v>6</v>
      </c>
      <c r="G14" s="521"/>
      <c r="H14" s="180"/>
      <c r="I14" s="288" t="s">
        <v>112</v>
      </c>
      <c r="J14" s="289"/>
      <c r="K14" s="516">
        <v>7</v>
      </c>
      <c r="L14" s="517"/>
      <c r="M14" s="516">
        <v>8</v>
      </c>
      <c r="N14" s="521"/>
      <c r="O14" s="180"/>
      <c r="P14" s="288" t="s">
        <v>112</v>
      </c>
      <c r="Q14" s="289"/>
      <c r="R14" s="516">
        <v>6</v>
      </c>
      <c r="S14" s="517"/>
      <c r="T14" s="516">
        <v>2</v>
      </c>
      <c r="U14" s="521"/>
      <c r="V14" s="180"/>
      <c r="W14" s="288" t="s">
        <v>112</v>
      </c>
      <c r="X14" s="289"/>
      <c r="Y14" s="516">
        <v>11</v>
      </c>
      <c r="Z14" s="517"/>
      <c r="AA14" s="516">
        <v>12</v>
      </c>
      <c r="AB14" s="521"/>
    </row>
    <row r="15" spans="2:28">
      <c r="B15" s="288" t="s">
        <v>111</v>
      </c>
      <c r="C15" s="289"/>
      <c r="D15" s="516">
        <v>8</v>
      </c>
      <c r="E15" s="517"/>
      <c r="F15" s="516">
        <v>17</v>
      </c>
      <c r="G15" s="521"/>
      <c r="H15" s="180"/>
      <c r="I15" s="288" t="s">
        <v>111</v>
      </c>
      <c r="J15" s="289"/>
      <c r="K15" s="516">
        <v>9</v>
      </c>
      <c r="L15" s="517"/>
      <c r="M15" s="516">
        <v>10</v>
      </c>
      <c r="N15" s="521"/>
      <c r="O15" s="180"/>
      <c r="P15" s="288" t="s">
        <v>111</v>
      </c>
      <c r="Q15" s="289"/>
      <c r="R15" s="516">
        <v>4</v>
      </c>
      <c r="S15" s="517"/>
      <c r="T15" s="516">
        <v>16</v>
      </c>
      <c r="U15" s="521"/>
      <c r="V15" s="180"/>
      <c r="W15" s="288" t="s">
        <v>111</v>
      </c>
      <c r="X15" s="289"/>
      <c r="Y15" s="516">
        <v>8</v>
      </c>
      <c r="Z15" s="517"/>
      <c r="AA15" s="516">
        <v>15</v>
      </c>
      <c r="AB15" s="521"/>
    </row>
    <row r="16" spans="2:28">
      <c r="B16" s="288" t="s">
        <v>110</v>
      </c>
      <c r="C16" s="289"/>
      <c r="D16" s="516">
        <v>20</v>
      </c>
      <c r="E16" s="517"/>
      <c r="F16" s="516">
        <v>18</v>
      </c>
      <c r="G16" s="521"/>
      <c r="H16" s="180"/>
      <c r="I16" s="288" t="s">
        <v>110</v>
      </c>
      <c r="J16" s="289"/>
      <c r="K16" s="516">
        <v>21</v>
      </c>
      <c r="L16" s="517"/>
      <c r="M16" s="516">
        <v>24</v>
      </c>
      <c r="N16" s="521"/>
      <c r="O16" s="180"/>
      <c r="P16" s="288" t="s">
        <v>110</v>
      </c>
      <c r="Q16" s="289"/>
      <c r="R16" s="516">
        <v>17</v>
      </c>
      <c r="S16" s="517"/>
      <c r="T16" s="516">
        <v>20</v>
      </c>
      <c r="U16" s="521"/>
      <c r="V16" s="180"/>
      <c r="W16" s="288" t="s">
        <v>110</v>
      </c>
      <c r="X16" s="289"/>
      <c r="Y16" s="516">
        <v>15</v>
      </c>
      <c r="Z16" s="517"/>
      <c r="AA16" s="516">
        <v>13</v>
      </c>
      <c r="AB16" s="521"/>
    </row>
    <row r="17" spans="1:28" ht="15.75" thickBot="1">
      <c r="B17" s="290" t="s">
        <v>109</v>
      </c>
      <c r="C17" s="291"/>
      <c r="D17" s="518">
        <v>1</v>
      </c>
      <c r="E17" s="519"/>
      <c r="F17" s="518">
        <v>0</v>
      </c>
      <c r="G17" s="522"/>
      <c r="H17" s="180"/>
      <c r="I17" s="290" t="s">
        <v>109</v>
      </c>
      <c r="J17" s="291"/>
      <c r="K17" s="518">
        <v>0</v>
      </c>
      <c r="L17" s="519"/>
      <c r="M17" s="518">
        <v>0</v>
      </c>
      <c r="N17" s="522"/>
      <c r="O17" s="180"/>
      <c r="P17" s="290" t="s">
        <v>109</v>
      </c>
      <c r="Q17" s="291"/>
      <c r="R17" s="518">
        <v>3</v>
      </c>
      <c r="S17" s="519"/>
      <c r="T17" s="518">
        <v>0</v>
      </c>
      <c r="U17" s="522"/>
      <c r="V17" s="180"/>
      <c r="W17" s="290" t="s">
        <v>109</v>
      </c>
      <c r="X17" s="291"/>
      <c r="Y17" s="518">
        <v>0</v>
      </c>
      <c r="Z17" s="519"/>
      <c r="AA17" s="518">
        <v>0</v>
      </c>
      <c r="AB17" s="522"/>
    </row>
    <row r="18" spans="1:28" ht="15.75" thickBot="1">
      <c r="H18" s="180"/>
      <c r="O18" s="180"/>
      <c r="V18" s="180"/>
    </row>
    <row r="19" spans="1:28" s="5" customFormat="1" ht="18.75" customHeight="1" thickBot="1">
      <c r="A19" s="214"/>
      <c r="B19" s="179"/>
      <c r="C19" s="179"/>
      <c r="D19" s="292" t="s">
        <v>46</v>
      </c>
      <c r="E19" s="293">
        <f>+SUM(D11:G17)</f>
        <v>225</v>
      </c>
      <c r="F19" s="294" t="s">
        <v>234</v>
      </c>
      <c r="G19" s="179"/>
      <c r="H19" s="183"/>
      <c r="I19" s="179"/>
      <c r="J19" s="179"/>
      <c r="K19" s="292" t="s">
        <v>46</v>
      </c>
      <c r="L19" s="293">
        <f>+SUM(K11:L17,M11:N17)</f>
        <v>258</v>
      </c>
      <c r="M19" s="294" t="s">
        <v>234</v>
      </c>
      <c r="N19" s="179"/>
      <c r="O19" s="183"/>
      <c r="P19" s="179"/>
      <c r="Q19" s="179"/>
      <c r="R19" s="292" t="s">
        <v>46</v>
      </c>
      <c r="S19" s="293">
        <f>+SUM(R11:S17,T11:U17)</f>
        <v>235</v>
      </c>
      <c r="T19" s="294" t="s">
        <v>234</v>
      </c>
      <c r="U19" s="179"/>
      <c r="V19" s="183"/>
      <c r="W19" s="179"/>
      <c r="X19" s="179"/>
      <c r="Y19" s="292" t="s">
        <v>46</v>
      </c>
      <c r="Z19" s="293">
        <f>+SUM(Y11:Y17,AA11:AA17)</f>
        <v>232</v>
      </c>
      <c r="AA19" s="294" t="s">
        <v>234</v>
      </c>
      <c r="AB19" s="179"/>
    </row>
    <row r="20" spans="1:28" s="5" customFormat="1" ht="18.75" customHeight="1" thickBot="1">
      <c r="A20" s="214"/>
      <c r="B20" s="179"/>
      <c r="C20" s="179"/>
      <c r="D20" s="529" t="s">
        <v>233</v>
      </c>
      <c r="E20" s="530"/>
      <c r="F20" s="295">
        <f>+SUM(D13:E16,F13:G16)/E19</f>
        <v>0.32</v>
      </c>
      <c r="G20" s="179"/>
      <c r="H20" s="183"/>
      <c r="I20" s="179"/>
      <c r="J20" s="179"/>
      <c r="K20" s="529" t="s">
        <v>233</v>
      </c>
      <c r="L20" s="530"/>
      <c r="M20" s="295">
        <f>+SUM(K13:L16,M13:N16)/L19</f>
        <v>0.32170542635658916</v>
      </c>
      <c r="N20" s="179"/>
      <c r="O20" s="183"/>
      <c r="P20" s="179"/>
      <c r="Q20" s="179"/>
      <c r="R20" s="529" t="s">
        <v>233</v>
      </c>
      <c r="S20" s="530"/>
      <c r="T20" s="295">
        <f>+SUM(R13:S16,T13:U16)/S19</f>
        <v>0.28936170212765955</v>
      </c>
      <c r="U20" s="179"/>
      <c r="V20" s="183"/>
      <c r="W20" s="179"/>
      <c r="X20" s="179"/>
      <c r="Y20" s="529" t="s">
        <v>233</v>
      </c>
      <c r="Z20" s="530"/>
      <c r="AA20" s="295">
        <f>+SUM(Y13:Z16,AA13:AB16)/Z19</f>
        <v>0.32758620689655171</v>
      </c>
      <c r="AB20" s="179"/>
    </row>
    <row r="21" spans="1:28" ht="15.75" thickBot="1">
      <c r="H21" s="180"/>
      <c r="O21" s="180"/>
    </row>
    <row r="22" spans="1:28">
      <c r="B22" s="271" t="s">
        <v>129</v>
      </c>
      <c r="C22" s="272" t="s">
        <v>128</v>
      </c>
      <c r="D22" s="272"/>
      <c r="E22" s="272"/>
      <c r="F22" s="272"/>
      <c r="G22" s="273"/>
      <c r="H22" s="180"/>
      <c r="I22" s="271" t="s">
        <v>129</v>
      </c>
      <c r="J22" s="272" t="s">
        <v>128</v>
      </c>
      <c r="K22" s="272"/>
      <c r="L22" s="272"/>
      <c r="M22" s="272"/>
      <c r="N22" s="273"/>
      <c r="O22" s="180"/>
      <c r="P22" s="271" t="s">
        <v>129</v>
      </c>
      <c r="Q22" s="272" t="s">
        <v>128</v>
      </c>
      <c r="R22" s="272"/>
      <c r="S22" s="272"/>
      <c r="T22" s="272"/>
      <c r="U22" s="273"/>
      <c r="V22" s="180"/>
      <c r="W22" s="271" t="s">
        <v>129</v>
      </c>
      <c r="X22" s="272" t="s">
        <v>128</v>
      </c>
      <c r="Y22" s="272"/>
      <c r="Z22" s="272"/>
      <c r="AA22" s="272"/>
      <c r="AB22" s="273"/>
    </row>
    <row r="23" spans="1:28" ht="15.75" thickBot="1">
      <c r="B23" s="366" t="s">
        <v>127</v>
      </c>
      <c r="G23" s="367"/>
      <c r="H23" s="180"/>
      <c r="I23" s="274" t="s">
        <v>127</v>
      </c>
      <c r="J23" s="275"/>
      <c r="K23" s="275"/>
      <c r="L23" s="275"/>
      <c r="M23" s="275"/>
      <c r="N23" s="276"/>
      <c r="O23" s="180"/>
      <c r="P23" s="274" t="s">
        <v>127</v>
      </c>
      <c r="Q23" s="275"/>
      <c r="R23" s="275"/>
      <c r="S23" s="275"/>
      <c r="T23" s="275"/>
      <c r="U23" s="276"/>
      <c r="V23" s="180"/>
      <c r="W23" s="274" t="s">
        <v>127</v>
      </c>
      <c r="X23" s="275"/>
      <c r="Y23" s="275"/>
      <c r="Z23" s="275"/>
      <c r="AA23" s="275"/>
      <c r="AB23" s="276"/>
    </row>
    <row r="24" spans="1:28" ht="15.75">
      <c r="B24" s="271" t="s">
        <v>125</v>
      </c>
      <c r="C24" s="368" t="s">
        <v>188</v>
      </c>
      <c r="D24" s="369"/>
      <c r="E24" s="272" t="s">
        <v>123</v>
      </c>
      <c r="F24" s="370">
        <v>45549</v>
      </c>
      <c r="G24" s="371" t="str">
        <f>IF(WEEKDAY(F24)=2,"Lunes",IF(WEEKDAY(F24)=3,"Martes",IF(WEEKDAY(F24)=4,"Miercoles",IF(WEEKDAY(F24)=5,"Jueves",IF(WEEKDAY(F24)=6,"Viernes",IF(WEEKDAY(F24)=7,"Sábado",FALSE))))))</f>
        <v>Sábado</v>
      </c>
      <c r="H24" s="180"/>
      <c r="I24" s="271" t="s">
        <v>125</v>
      </c>
      <c r="J24" s="368" t="s">
        <v>188</v>
      </c>
      <c r="K24" s="369"/>
      <c r="L24" s="272" t="s">
        <v>123</v>
      </c>
      <c r="M24" s="370">
        <f>+F24</f>
        <v>45549</v>
      </c>
      <c r="N24" s="371" t="str">
        <f>IF(WEEKDAY(M24)=2,"Lunes",IF(WEEKDAY(M24)=3,"Martes",IF(WEEKDAY(M24)=4,"Miercoles",IF(WEEKDAY(M24)=5,"Jueves",IF(WEEKDAY(M24)=6,"Viernes",IF(WEEKDAY(M24)=7,"Sábado",FALSE))))))</f>
        <v>Sábado</v>
      </c>
      <c r="O24" s="180"/>
      <c r="P24" s="271" t="s">
        <v>125</v>
      </c>
      <c r="Q24" s="368" t="s">
        <v>188</v>
      </c>
      <c r="R24" s="369"/>
      <c r="S24" s="272" t="s">
        <v>123</v>
      </c>
      <c r="T24" s="370">
        <f>+M24</f>
        <v>45549</v>
      </c>
      <c r="U24" s="371" t="str">
        <f>IF(WEEKDAY(T24)=2,"Lunes",IF(WEEKDAY(T24)=3,"Martes",IF(WEEKDAY(T24)=4,"Miercoles",IF(WEEKDAY(T24)=5,"Jueves",IF(WEEKDAY(T24)=6,"Viernes",IF(WEEKDAY(T24)=7,"Sábado",FALSE))))))</f>
        <v>Sábado</v>
      </c>
      <c r="V24" s="180"/>
      <c r="W24" s="271" t="s">
        <v>125</v>
      </c>
      <c r="X24" s="368" t="s">
        <v>188</v>
      </c>
      <c r="Y24" s="369"/>
      <c r="Z24" s="272" t="s">
        <v>123</v>
      </c>
      <c r="AA24" s="370">
        <f>+T24</f>
        <v>45549</v>
      </c>
      <c r="AB24" s="371" t="str">
        <f>IF(WEEKDAY(AA24)=2,"Lunes",IF(WEEKDAY(AA24)=3,"Martes",IF(WEEKDAY(AA24)=4,"Miercoles",IF(WEEKDAY(AA24)=5,"Jueves",IF(WEEKDAY(AA24)=6,"Viernes",IF(WEEKDAY(AA24)=7,"Sábado",FALSE))))))</f>
        <v>Sábado</v>
      </c>
    </row>
    <row r="25" spans="1:28" ht="15.75" thickBot="1">
      <c r="B25" s="282" t="s">
        <v>122</v>
      </c>
      <c r="C25" s="283">
        <v>0.38541666666666669</v>
      </c>
      <c r="D25" s="284" t="s">
        <v>120</v>
      </c>
      <c r="E25" s="285" t="s">
        <v>121</v>
      </c>
      <c r="F25" s="283">
        <v>0.42708333333333331</v>
      </c>
      <c r="G25" s="286" t="s">
        <v>120</v>
      </c>
      <c r="H25" s="180"/>
      <c r="I25" s="282" t="s">
        <v>122</v>
      </c>
      <c r="J25" s="283">
        <f>+F25</f>
        <v>0.42708333333333331</v>
      </c>
      <c r="K25" s="284" t="s">
        <v>120</v>
      </c>
      <c r="L25" s="285" t="s">
        <v>121</v>
      </c>
      <c r="M25" s="283">
        <v>0.46875</v>
      </c>
      <c r="N25" s="286" t="s">
        <v>120</v>
      </c>
      <c r="O25" s="180"/>
      <c r="P25" s="282" t="s">
        <v>122</v>
      </c>
      <c r="Q25" s="283">
        <f>+M25</f>
        <v>0.46875</v>
      </c>
      <c r="R25" s="284" t="s">
        <v>120</v>
      </c>
      <c r="S25" s="285" t="s">
        <v>121</v>
      </c>
      <c r="T25" s="283">
        <v>0.51041666666666663</v>
      </c>
      <c r="U25" s="286" t="s">
        <v>120</v>
      </c>
      <c r="V25" s="180"/>
      <c r="W25" s="282" t="s">
        <v>122</v>
      </c>
      <c r="X25" s="283">
        <f>+T25</f>
        <v>0.51041666666666663</v>
      </c>
      <c r="Y25" s="284" t="s">
        <v>120</v>
      </c>
      <c r="Z25" s="285" t="s">
        <v>121</v>
      </c>
      <c r="AA25" s="283">
        <v>0.55208333333333337</v>
      </c>
      <c r="AB25" s="286" t="s">
        <v>120</v>
      </c>
    </row>
    <row r="26" spans="1:28" ht="15.75" thickBot="1">
      <c r="H26" s="180"/>
      <c r="O26" s="180"/>
      <c r="V26" s="180"/>
    </row>
    <row r="27" spans="1:28">
      <c r="B27" s="507" t="s">
        <v>119</v>
      </c>
      <c r="C27" s="508"/>
      <c r="D27" s="526" t="s">
        <v>118</v>
      </c>
      <c r="E27" s="527"/>
      <c r="F27" s="527"/>
      <c r="G27" s="528"/>
      <c r="H27" s="180"/>
      <c r="I27" s="507" t="s">
        <v>119</v>
      </c>
      <c r="J27" s="508"/>
      <c r="K27" s="526" t="s">
        <v>118</v>
      </c>
      <c r="L27" s="527"/>
      <c r="M27" s="527"/>
      <c r="N27" s="528"/>
      <c r="O27" s="180"/>
      <c r="P27" s="507" t="s">
        <v>119</v>
      </c>
      <c r="Q27" s="508"/>
      <c r="R27" s="526" t="s">
        <v>118</v>
      </c>
      <c r="S27" s="527"/>
      <c r="T27" s="527"/>
      <c r="U27" s="528"/>
      <c r="V27" s="180"/>
      <c r="W27" s="507" t="s">
        <v>119</v>
      </c>
      <c r="X27" s="508"/>
      <c r="Y27" s="526" t="s">
        <v>118</v>
      </c>
      <c r="Z27" s="527"/>
      <c r="AA27" s="527"/>
      <c r="AB27" s="528"/>
    </row>
    <row r="28" spans="1:28">
      <c r="B28" s="509"/>
      <c r="C28" s="510"/>
      <c r="D28" s="513" t="s">
        <v>132</v>
      </c>
      <c r="E28" s="513"/>
      <c r="F28" s="536" t="s">
        <v>131</v>
      </c>
      <c r="G28" s="537"/>
      <c r="H28" s="180"/>
      <c r="I28" s="509"/>
      <c r="J28" s="510"/>
      <c r="K28" s="513" t="s">
        <v>132</v>
      </c>
      <c r="L28" s="513"/>
      <c r="M28" s="536" t="s">
        <v>131</v>
      </c>
      <c r="N28" s="537"/>
      <c r="O28" s="180"/>
      <c r="P28" s="509"/>
      <c r="Q28" s="510"/>
      <c r="R28" s="513" t="s">
        <v>132</v>
      </c>
      <c r="S28" s="513"/>
      <c r="T28" s="536" t="s">
        <v>131</v>
      </c>
      <c r="U28" s="537"/>
      <c r="V28" s="180"/>
      <c r="W28" s="509"/>
      <c r="X28" s="510"/>
      <c r="Y28" s="513" t="s">
        <v>132</v>
      </c>
      <c r="Z28" s="513"/>
      <c r="AA28" s="536" t="s">
        <v>131</v>
      </c>
      <c r="AB28" s="537"/>
    </row>
    <row r="29" spans="1:28" ht="15.75" thickBot="1">
      <c r="B29" s="511"/>
      <c r="C29" s="512"/>
      <c r="D29" s="523" t="s">
        <v>237</v>
      </c>
      <c r="E29" s="525"/>
      <c r="F29" s="523" t="s">
        <v>237</v>
      </c>
      <c r="G29" s="524"/>
      <c r="H29" s="180"/>
      <c r="I29" s="511"/>
      <c r="J29" s="512"/>
      <c r="K29" s="523" t="s">
        <v>237</v>
      </c>
      <c r="L29" s="525"/>
      <c r="M29" s="523" t="s">
        <v>237</v>
      </c>
      <c r="N29" s="524"/>
      <c r="O29" s="180"/>
      <c r="P29" s="511"/>
      <c r="Q29" s="512"/>
      <c r="R29" s="523" t="s">
        <v>237</v>
      </c>
      <c r="S29" s="525"/>
      <c r="T29" s="523" t="s">
        <v>237</v>
      </c>
      <c r="U29" s="524"/>
      <c r="V29" s="180"/>
      <c r="W29" s="511"/>
      <c r="X29" s="512"/>
      <c r="Y29" s="523" t="s">
        <v>237</v>
      </c>
      <c r="Z29" s="525"/>
      <c r="AA29" s="523" t="s">
        <v>237</v>
      </c>
      <c r="AB29" s="524"/>
    </row>
    <row r="30" spans="1:28" ht="15.75" thickTop="1">
      <c r="B30" s="274" t="s">
        <v>115</v>
      </c>
      <c r="C30" s="287"/>
      <c r="D30" s="514">
        <v>5</v>
      </c>
      <c r="E30" s="515"/>
      <c r="F30" s="514">
        <v>9</v>
      </c>
      <c r="G30" s="520"/>
      <c r="H30" s="180"/>
      <c r="I30" s="274" t="s">
        <v>115</v>
      </c>
      <c r="J30" s="287"/>
      <c r="K30" s="514">
        <v>3</v>
      </c>
      <c r="L30" s="515"/>
      <c r="M30" s="514">
        <v>2</v>
      </c>
      <c r="N30" s="520"/>
      <c r="O30" s="180"/>
      <c r="P30" s="274" t="s">
        <v>115</v>
      </c>
      <c r="Q30" s="287"/>
      <c r="R30" s="514">
        <v>11</v>
      </c>
      <c r="S30" s="515"/>
      <c r="T30" s="514">
        <v>7</v>
      </c>
      <c r="U30" s="520"/>
      <c r="V30" s="180"/>
      <c r="W30" s="274" t="s">
        <v>115</v>
      </c>
      <c r="X30" s="287"/>
      <c r="Y30" s="514">
        <v>6</v>
      </c>
      <c r="Z30" s="515"/>
      <c r="AA30" s="514">
        <v>12</v>
      </c>
      <c r="AB30" s="520"/>
    </row>
    <row r="31" spans="1:28">
      <c r="B31" s="288" t="s">
        <v>114</v>
      </c>
      <c r="C31" s="289"/>
      <c r="D31" s="516">
        <v>77</v>
      </c>
      <c r="E31" s="517"/>
      <c r="F31" s="516">
        <v>82</v>
      </c>
      <c r="G31" s="521"/>
      <c r="H31" s="180"/>
      <c r="I31" s="288" t="s">
        <v>114</v>
      </c>
      <c r="J31" s="289"/>
      <c r="K31" s="516">
        <v>68</v>
      </c>
      <c r="L31" s="517"/>
      <c r="M31" s="516">
        <v>78</v>
      </c>
      <c r="N31" s="521"/>
      <c r="O31" s="180"/>
      <c r="P31" s="288" t="s">
        <v>114</v>
      </c>
      <c r="Q31" s="289"/>
      <c r="R31" s="516">
        <v>75</v>
      </c>
      <c r="S31" s="517"/>
      <c r="T31" s="516">
        <v>79</v>
      </c>
      <c r="U31" s="521"/>
      <c r="V31" s="180"/>
      <c r="W31" s="288" t="s">
        <v>114</v>
      </c>
      <c r="X31" s="289"/>
      <c r="Y31" s="516">
        <v>76</v>
      </c>
      <c r="Z31" s="517"/>
      <c r="AA31" s="516">
        <v>81</v>
      </c>
      <c r="AB31" s="521"/>
    </row>
    <row r="32" spans="1:28">
      <c r="B32" s="288" t="s">
        <v>113</v>
      </c>
      <c r="C32" s="289"/>
      <c r="D32" s="516">
        <v>1</v>
      </c>
      <c r="E32" s="517"/>
      <c r="F32" s="516">
        <v>0</v>
      </c>
      <c r="G32" s="521"/>
      <c r="H32" s="180"/>
      <c r="I32" s="288" t="s">
        <v>113</v>
      </c>
      <c r="J32" s="289"/>
      <c r="K32" s="516">
        <v>2</v>
      </c>
      <c r="L32" s="517"/>
      <c r="M32" s="516">
        <v>0</v>
      </c>
      <c r="N32" s="521"/>
      <c r="O32" s="180"/>
      <c r="P32" s="288" t="s">
        <v>113</v>
      </c>
      <c r="Q32" s="289"/>
      <c r="R32" s="516">
        <v>1</v>
      </c>
      <c r="S32" s="517"/>
      <c r="T32" s="516">
        <v>3</v>
      </c>
      <c r="U32" s="521"/>
      <c r="V32" s="180"/>
      <c r="W32" s="288" t="s">
        <v>113</v>
      </c>
      <c r="X32" s="289"/>
      <c r="Y32" s="516">
        <v>2</v>
      </c>
      <c r="Z32" s="517"/>
      <c r="AA32" s="516">
        <v>3</v>
      </c>
      <c r="AB32" s="521"/>
    </row>
    <row r="33" spans="2:28">
      <c r="B33" s="288" t="s">
        <v>112</v>
      </c>
      <c r="C33" s="289"/>
      <c r="D33" s="516">
        <v>2</v>
      </c>
      <c r="E33" s="517"/>
      <c r="F33" s="516">
        <v>8</v>
      </c>
      <c r="G33" s="521"/>
      <c r="H33" s="180"/>
      <c r="I33" s="288" t="s">
        <v>112</v>
      </c>
      <c r="J33" s="289"/>
      <c r="K33" s="516">
        <v>4</v>
      </c>
      <c r="L33" s="517"/>
      <c r="M33" s="516">
        <v>6</v>
      </c>
      <c r="N33" s="521"/>
      <c r="O33" s="180"/>
      <c r="P33" s="288" t="s">
        <v>112</v>
      </c>
      <c r="Q33" s="289"/>
      <c r="R33" s="516">
        <v>4</v>
      </c>
      <c r="S33" s="517"/>
      <c r="T33" s="516">
        <v>2</v>
      </c>
      <c r="U33" s="521"/>
      <c r="V33" s="180"/>
      <c r="W33" s="288" t="s">
        <v>112</v>
      </c>
      <c r="X33" s="289"/>
      <c r="Y33" s="516">
        <v>7</v>
      </c>
      <c r="Z33" s="517"/>
      <c r="AA33" s="516">
        <v>8</v>
      </c>
      <c r="AB33" s="521"/>
    </row>
    <row r="34" spans="2:28">
      <c r="B34" s="288" t="s">
        <v>111</v>
      </c>
      <c r="C34" s="289"/>
      <c r="D34" s="516">
        <v>9</v>
      </c>
      <c r="E34" s="517"/>
      <c r="F34" s="516">
        <v>15</v>
      </c>
      <c r="G34" s="521"/>
      <c r="H34" s="180"/>
      <c r="I34" s="288" t="s">
        <v>111</v>
      </c>
      <c r="J34" s="289"/>
      <c r="K34" s="516">
        <v>6</v>
      </c>
      <c r="L34" s="517"/>
      <c r="M34" s="516">
        <v>8</v>
      </c>
      <c r="N34" s="521"/>
      <c r="O34" s="180"/>
      <c r="P34" s="288" t="s">
        <v>111</v>
      </c>
      <c r="Q34" s="289"/>
      <c r="R34" s="516">
        <v>6</v>
      </c>
      <c r="S34" s="517"/>
      <c r="T34" s="516">
        <v>11</v>
      </c>
      <c r="U34" s="521"/>
      <c r="V34" s="180"/>
      <c r="W34" s="288" t="s">
        <v>111</v>
      </c>
      <c r="X34" s="289"/>
      <c r="Y34" s="516">
        <v>8</v>
      </c>
      <c r="Z34" s="517"/>
      <c r="AA34" s="516">
        <v>13</v>
      </c>
      <c r="AB34" s="521"/>
    </row>
    <row r="35" spans="2:28">
      <c r="B35" s="288" t="s">
        <v>110</v>
      </c>
      <c r="C35" s="289"/>
      <c r="D35" s="516">
        <v>13</v>
      </c>
      <c r="E35" s="517"/>
      <c r="F35" s="516">
        <v>16</v>
      </c>
      <c r="G35" s="521"/>
      <c r="H35" s="180"/>
      <c r="I35" s="288" t="s">
        <v>110</v>
      </c>
      <c r="J35" s="289"/>
      <c r="K35" s="516">
        <v>13</v>
      </c>
      <c r="L35" s="517"/>
      <c r="M35" s="516">
        <v>19</v>
      </c>
      <c r="N35" s="521"/>
      <c r="O35" s="180"/>
      <c r="P35" s="288" t="s">
        <v>110</v>
      </c>
      <c r="Q35" s="289"/>
      <c r="R35" s="516">
        <v>12</v>
      </c>
      <c r="S35" s="517"/>
      <c r="T35" s="516">
        <v>14</v>
      </c>
      <c r="U35" s="521"/>
      <c r="V35" s="180"/>
      <c r="W35" s="288" t="s">
        <v>110</v>
      </c>
      <c r="X35" s="289"/>
      <c r="Y35" s="516">
        <v>11</v>
      </c>
      <c r="Z35" s="517"/>
      <c r="AA35" s="516">
        <v>10</v>
      </c>
      <c r="AB35" s="521"/>
    </row>
    <row r="36" spans="2:28" ht="15.75" thickBot="1">
      <c r="B36" s="290" t="s">
        <v>109</v>
      </c>
      <c r="C36" s="291"/>
      <c r="D36" s="518">
        <v>1</v>
      </c>
      <c r="E36" s="519"/>
      <c r="F36" s="518">
        <v>2</v>
      </c>
      <c r="G36" s="522"/>
      <c r="H36" s="180"/>
      <c r="I36" s="290" t="s">
        <v>109</v>
      </c>
      <c r="J36" s="291"/>
      <c r="K36" s="518">
        <v>1</v>
      </c>
      <c r="L36" s="519"/>
      <c r="M36" s="518">
        <v>0</v>
      </c>
      <c r="N36" s="522"/>
      <c r="O36" s="180"/>
      <c r="P36" s="290" t="s">
        <v>109</v>
      </c>
      <c r="Q36" s="291"/>
      <c r="R36" s="518">
        <v>2</v>
      </c>
      <c r="S36" s="519"/>
      <c r="T36" s="518">
        <v>2</v>
      </c>
      <c r="U36" s="522"/>
      <c r="V36" s="180"/>
      <c r="W36" s="290" t="s">
        <v>109</v>
      </c>
      <c r="X36" s="291"/>
      <c r="Y36" s="518">
        <v>2</v>
      </c>
      <c r="Z36" s="519"/>
      <c r="AA36" s="518">
        <v>1</v>
      </c>
      <c r="AB36" s="522"/>
    </row>
    <row r="37" spans="2:28" ht="15.75" thickBot="1">
      <c r="H37" s="180"/>
      <c r="O37" s="180"/>
      <c r="V37" s="180"/>
    </row>
    <row r="38" spans="2:28" ht="15.75" thickBot="1">
      <c r="D38" s="292" t="s">
        <v>46</v>
      </c>
      <c r="E38" s="296">
        <f>+'Cálculo TMDA'!E18</f>
        <v>239.66982444587359</v>
      </c>
      <c r="F38" s="294" t="s">
        <v>234</v>
      </c>
      <c r="G38" s="179">
        <f>+SUM(D30:G36)</f>
        <v>240</v>
      </c>
      <c r="H38" s="331"/>
      <c r="K38" s="292" t="s">
        <v>46</v>
      </c>
      <c r="L38" s="296">
        <f>+'Cálculo TMDA'!E19</f>
        <v>209.91890259630634</v>
      </c>
      <c r="M38" s="294" t="s">
        <v>234</v>
      </c>
      <c r="N38" s="179">
        <f>+SUM(K30:N36)</f>
        <v>210</v>
      </c>
      <c r="O38" s="183"/>
      <c r="R38" s="292" t="s">
        <v>46</v>
      </c>
      <c r="S38" s="296">
        <f>+'Cálculo TMDA'!E20</f>
        <v>229.48732034369345</v>
      </c>
      <c r="T38" s="294" t="s">
        <v>234</v>
      </c>
      <c r="U38" s="179">
        <f>+SUM(R30:U36)</f>
        <v>229</v>
      </c>
      <c r="V38" s="183"/>
      <c r="Y38" s="292" t="s">
        <v>46</v>
      </c>
      <c r="Z38" s="296">
        <f>+'Cálculo TMDA'!E21</f>
        <v>239.66982444587359</v>
      </c>
      <c r="AA38" s="294" t="s">
        <v>234</v>
      </c>
      <c r="AB38" s="179">
        <f>+SUM(Y30:AB36)</f>
        <v>240</v>
      </c>
    </row>
    <row r="39" spans="2:28" ht="15.75" thickBot="1">
      <c r="D39" s="529" t="s">
        <v>233</v>
      </c>
      <c r="E39" s="530"/>
      <c r="F39" s="295">
        <v>0.26703399999999999</v>
      </c>
      <c r="G39" s="372">
        <f>+SUM(D32:G35)/G38</f>
        <v>0.26666666666666666</v>
      </c>
      <c r="H39" s="329"/>
      <c r="K39" s="529" t="s">
        <v>233</v>
      </c>
      <c r="L39" s="530"/>
      <c r="M39" s="297">
        <v>0.27600000000000002</v>
      </c>
      <c r="N39" s="372">
        <f>+SUM(K32:N35)/N38</f>
        <v>0.27619047619047621</v>
      </c>
      <c r="R39" s="529" t="s">
        <v>233</v>
      </c>
      <c r="S39" s="530"/>
      <c r="T39" s="297">
        <v>0.23094999999999999</v>
      </c>
      <c r="U39" s="372">
        <f>+SUM(R32:U35)/U38</f>
        <v>0.23144104803493451</v>
      </c>
      <c r="V39" s="299"/>
      <c r="W39" s="298"/>
      <c r="X39" s="298"/>
      <c r="Y39" s="538" t="s">
        <v>233</v>
      </c>
      <c r="Z39" s="539"/>
      <c r="AA39" s="297">
        <v>0.25908416000000001</v>
      </c>
      <c r="AB39" s="372">
        <f>+SUM(Y32:AB35)/AB38</f>
        <v>0.25833333333333336</v>
      </c>
    </row>
    <row r="40" spans="2:28">
      <c r="F40" s="333"/>
      <c r="G40" s="333"/>
      <c r="W40" s="180"/>
      <c r="X40" s="180"/>
      <c r="Y40" s="180"/>
      <c r="Z40" s="180"/>
    </row>
    <row r="41" spans="2:28">
      <c r="F41" s="180"/>
      <c r="M41" s="180"/>
      <c r="T41" s="180"/>
      <c r="W41" s="180"/>
      <c r="X41" s="180"/>
      <c r="Y41" s="180"/>
      <c r="Z41" s="180"/>
      <c r="AA41" s="180"/>
    </row>
    <row r="42" spans="2:28" ht="15.75" thickBot="1">
      <c r="B42" s="502" t="s">
        <v>240</v>
      </c>
      <c r="C42" s="502"/>
      <c r="D42" s="502"/>
      <c r="E42" s="502"/>
      <c r="F42" s="180"/>
      <c r="K42" s="180"/>
      <c r="L42" s="180"/>
      <c r="M42" s="180"/>
      <c r="N42" s="180"/>
      <c r="R42" s="18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</row>
    <row r="43" spans="2:28" ht="39.75" thickTop="1" thickBot="1">
      <c r="B43" s="531" t="s">
        <v>119</v>
      </c>
      <c r="C43" s="532"/>
      <c r="D43" s="184" t="s">
        <v>244</v>
      </c>
      <c r="E43" s="209" t="s">
        <v>187</v>
      </c>
      <c r="F43" s="180"/>
      <c r="G43" s="533" t="s">
        <v>207</v>
      </c>
      <c r="H43" s="534"/>
      <c r="I43" s="534"/>
      <c r="J43" s="534"/>
      <c r="K43" s="534"/>
      <c r="L43" s="534"/>
      <c r="M43" s="535"/>
      <c r="O43" s="180"/>
      <c r="P43" s="180"/>
      <c r="Q43" s="180"/>
      <c r="R43" s="180"/>
      <c r="S43" s="180"/>
      <c r="T43" s="180"/>
      <c r="V43" s="180"/>
      <c r="W43" s="180"/>
      <c r="X43" s="180"/>
      <c r="Y43" s="180"/>
      <c r="Z43" s="180"/>
      <c r="AA43" s="180"/>
      <c r="AB43" s="180"/>
    </row>
    <row r="44" spans="2:28" ht="16.5" thickTop="1" thickBot="1">
      <c r="B44" s="218" t="s">
        <v>113</v>
      </c>
      <c r="C44" s="217"/>
      <c r="D44" s="259">
        <f>SUM(D13:G13,K13:N13,R13:U13,Y13:AB13)*5/7+SUM(D32:G32,K32:N32,R32:U32,Y32:AB32)*2/7</f>
        <v>9.8571428571428577</v>
      </c>
      <c r="E44" s="358">
        <f>+D44/$D$48</f>
        <v>3.5043169121381418E-2</v>
      </c>
      <c r="F44" s="180"/>
      <c r="G44" s="5"/>
      <c r="H44" s="5"/>
      <c r="I44" s="5"/>
      <c r="J44" s="186"/>
      <c r="K44" s="180"/>
      <c r="L44" s="5"/>
      <c r="M44" s="183"/>
      <c r="O44" s="180"/>
      <c r="P44" s="5"/>
      <c r="Q44" s="186"/>
      <c r="R44" s="180"/>
      <c r="S44" s="5"/>
      <c r="T44" s="183"/>
      <c r="V44" s="180"/>
      <c r="W44" s="180"/>
      <c r="X44" s="180"/>
      <c r="Y44" s="180"/>
      <c r="Z44" s="180"/>
      <c r="AA44" s="180"/>
      <c r="AB44" s="180"/>
    </row>
    <row r="45" spans="2:28">
      <c r="B45" s="218" t="s">
        <v>112</v>
      </c>
      <c r="C45" s="217"/>
      <c r="D45" s="259">
        <f>SUM(D14:G14,K14:N14,R14:U14,Y14:AB14)*5/7+SUM(D33:G33,K33:N33,R33:U33,Y33:AB33)*2/7</f>
        <v>51</v>
      </c>
      <c r="E45" s="358">
        <f>+D45/$D$48</f>
        <v>0.18131030980192991</v>
      </c>
      <c r="F45" s="180"/>
      <c r="G45" s="256" t="s">
        <v>129</v>
      </c>
      <c r="H45" s="256" t="s">
        <v>128</v>
      </c>
      <c r="I45" s="186"/>
      <c r="J45" s="311" t="s">
        <v>123</v>
      </c>
      <c r="K45" s="307">
        <v>45548</v>
      </c>
      <c r="L45" s="311" t="s">
        <v>123</v>
      </c>
      <c r="M45" s="307">
        <v>45549</v>
      </c>
      <c r="O45" s="180"/>
      <c r="V45" s="180"/>
      <c r="W45" s="180"/>
      <c r="X45" s="180"/>
      <c r="Y45" s="180"/>
      <c r="Z45" s="180"/>
      <c r="AA45" s="180"/>
      <c r="AB45" s="180"/>
    </row>
    <row r="46" spans="2:28">
      <c r="B46" s="218" t="s">
        <v>111</v>
      </c>
      <c r="C46" s="217"/>
      <c r="D46" s="259">
        <f>SUM(D15:G15,K15:N15,R15:U15,Y15:AB15)*5/7+SUM(D34:G34,K34:N34,R34:U34,Y34:AB34)*2/7</f>
        <v>83.857142857142861</v>
      </c>
      <c r="E46" s="358">
        <f>+D46/$D$48</f>
        <v>0.29812087353986799</v>
      </c>
      <c r="F46" s="180"/>
      <c r="G46" s="305" t="s">
        <v>125</v>
      </c>
      <c r="H46" s="189" t="str">
        <f>+C5</f>
        <v>2 (RP26 Sur)</v>
      </c>
      <c r="I46" s="186"/>
      <c r="J46" s="308" t="s">
        <v>205</v>
      </c>
      <c r="K46" s="309" t="s">
        <v>206</v>
      </c>
      <c r="L46" s="308" t="s">
        <v>205</v>
      </c>
      <c r="M46" s="309" t="s">
        <v>206</v>
      </c>
      <c r="O46" s="180"/>
      <c r="V46" s="180"/>
      <c r="W46" s="180"/>
      <c r="X46" s="180"/>
      <c r="Y46" s="180"/>
      <c r="Z46" s="180"/>
      <c r="AA46" s="180"/>
      <c r="AB46" s="180"/>
    </row>
    <row r="47" spans="2:28" ht="15.75" thickBot="1">
      <c r="B47" s="317" t="s">
        <v>110</v>
      </c>
      <c r="C47" s="269"/>
      <c r="D47" s="258">
        <f>SUM(D16:G16,K16:N16,R16:U16,Y16:AB16)*5/7+SUM(D35:G35,K35:N35,R35:U35,Y35:AB35)*2/7</f>
        <v>136.57142857142856</v>
      </c>
      <c r="E47" s="378">
        <f>+D47/$D$48</f>
        <v>0.4855256475368207</v>
      </c>
      <c r="F47" s="180"/>
      <c r="G47" s="1"/>
      <c r="H47" s="1"/>
      <c r="I47" s="1"/>
      <c r="J47" s="498" t="str">
        <f>IF(WEEKDAY(K45)=2,"Lunes",IF(WEEKDAY(K45)=3,"Martes",IF(WEEKDAY(K45)=4,"Miercoles",IF(WEEKDAY(K45)=5,"Jueves",IF(WEEKDAY(K45)=6,"Viernes",IF(WEEKDAY(K45)=7,"Sabado",FALSE))))))</f>
        <v>Viernes</v>
      </c>
      <c r="K47" s="499"/>
      <c r="L47" s="498" t="str">
        <f>IF(WEEKDAY(M45)=2,"Lunes",IF(WEEKDAY(M45)=3,"Martes",IF(WEEKDAY(M45)=4,"Miércoles",IF(WEEKDAY(M45)=5,"Jueves",IF(WEEKDAY(M45)=6,"Viernes",IF(WEEKDAY(M45)=7,"Sábado",FALSE))))))</f>
        <v>Sábado</v>
      </c>
      <c r="M47" s="499"/>
      <c r="O47" s="180"/>
      <c r="V47" s="180"/>
      <c r="W47" s="180"/>
      <c r="X47" s="180"/>
      <c r="Y47" s="180"/>
      <c r="Z47" s="180"/>
      <c r="AA47" s="180"/>
      <c r="AB47" s="180"/>
    </row>
    <row r="48" spans="2:28" ht="31.5" thickTop="1" thickBot="1">
      <c r="B48" s="500" t="s">
        <v>245</v>
      </c>
      <c r="C48" s="501"/>
      <c r="D48" s="320">
        <f>+SUM(D44:D47)</f>
        <v>281.28571428571428</v>
      </c>
      <c r="E48" s="319">
        <f>+D48/$D$48</f>
        <v>1</v>
      </c>
      <c r="F48" s="180"/>
      <c r="G48" s="504" t="s">
        <v>119</v>
      </c>
      <c r="H48" s="504"/>
      <c r="I48" s="505"/>
      <c r="J48" s="312" t="s">
        <v>239</v>
      </c>
      <c r="K48" s="313" t="s">
        <v>238</v>
      </c>
      <c r="L48" s="312" t="s">
        <v>239</v>
      </c>
      <c r="M48" s="313" t="s">
        <v>238</v>
      </c>
      <c r="O48" s="180"/>
      <c r="V48" s="180"/>
      <c r="W48" s="180"/>
      <c r="X48" s="180"/>
      <c r="Y48" s="180"/>
      <c r="Z48" s="180"/>
      <c r="AA48" s="180"/>
      <c r="AB48" s="180"/>
    </row>
    <row r="49" spans="2:28">
      <c r="F49" s="180"/>
      <c r="G49" s="496" t="str">
        <f>+P11</f>
        <v>Motos</v>
      </c>
      <c r="H49" s="496"/>
      <c r="I49" s="497"/>
      <c r="J49" s="310">
        <f t="shared" ref="J49:J54" si="0">SUM(D11:G11,K11:N11,Y11:AB11,R11:U11)</f>
        <v>44</v>
      </c>
      <c r="K49" s="314">
        <f t="shared" ref="K49:K54" si="1">+J49/$J$57</f>
        <v>4.6315789473684213E-2</v>
      </c>
      <c r="L49" s="310">
        <f t="shared" ref="L49:L54" si="2">SUM(D30:G30,K30:N30,Y30:AB30,R30:U30)</f>
        <v>55</v>
      </c>
      <c r="M49" s="314">
        <f>+L49/$L$57</f>
        <v>5.9847660500544068E-2</v>
      </c>
      <c r="O49" s="180"/>
      <c r="V49" s="180"/>
      <c r="W49" s="180"/>
      <c r="X49" s="180"/>
      <c r="Y49" s="180"/>
      <c r="Z49" s="180"/>
      <c r="AA49" s="180"/>
      <c r="AB49" s="180"/>
    </row>
    <row r="50" spans="2:28">
      <c r="B50" s="180"/>
      <c r="C50" s="180"/>
      <c r="D50" s="180"/>
      <c r="E50" s="180"/>
      <c r="F50" s="180"/>
      <c r="G50" s="496" t="str">
        <f>+P12</f>
        <v>Livianos (autos y camionetas)</v>
      </c>
      <c r="H50" s="496"/>
      <c r="I50" s="497"/>
      <c r="J50" s="310">
        <f t="shared" si="0"/>
        <v>603</v>
      </c>
      <c r="K50" s="314">
        <f t="shared" si="1"/>
        <v>0.63473684210526315</v>
      </c>
      <c r="L50" s="310">
        <f t="shared" si="2"/>
        <v>616</v>
      </c>
      <c r="M50" s="314">
        <f t="shared" ref="M50:M54" si="3">+L50/$L$57</f>
        <v>0.67029379760609353</v>
      </c>
      <c r="O50" s="180"/>
      <c r="V50" s="180"/>
      <c r="W50" s="180"/>
      <c r="X50" s="180"/>
      <c r="Y50" s="180"/>
      <c r="Z50" s="180"/>
      <c r="AA50" s="180"/>
      <c r="AB50" s="180"/>
    </row>
    <row r="51" spans="2:28">
      <c r="F51" s="180"/>
      <c r="G51" s="496" t="s">
        <v>113</v>
      </c>
      <c r="H51" s="496"/>
      <c r="I51" s="497"/>
      <c r="J51" s="310">
        <f t="shared" si="0"/>
        <v>9</v>
      </c>
      <c r="K51" s="314">
        <f t="shared" si="1"/>
        <v>9.4736842105263164E-3</v>
      </c>
      <c r="L51" s="310">
        <f t="shared" si="2"/>
        <v>12</v>
      </c>
      <c r="M51" s="314">
        <f t="shared" si="3"/>
        <v>1.3057671381936888E-2</v>
      </c>
      <c r="O51" s="180"/>
      <c r="V51" s="180"/>
      <c r="W51" s="180"/>
      <c r="X51" s="180"/>
      <c r="Y51" s="180"/>
      <c r="Z51" s="180"/>
      <c r="AA51" s="180"/>
      <c r="AB51" s="180"/>
    </row>
    <row r="52" spans="2:28">
      <c r="F52" s="180"/>
      <c r="G52" s="496" t="s">
        <v>112</v>
      </c>
      <c r="H52" s="496"/>
      <c r="I52" s="497"/>
      <c r="J52" s="310">
        <f t="shared" si="0"/>
        <v>55</v>
      </c>
      <c r="K52" s="314">
        <f t="shared" si="1"/>
        <v>5.7894736842105263E-2</v>
      </c>
      <c r="L52" s="310">
        <f t="shared" si="2"/>
        <v>41</v>
      </c>
      <c r="M52" s="314">
        <f t="shared" si="3"/>
        <v>4.461371055495103E-2</v>
      </c>
      <c r="O52" s="180"/>
      <c r="V52" s="180"/>
      <c r="W52" s="180"/>
      <c r="X52" s="180"/>
      <c r="Y52" s="180"/>
      <c r="Z52" s="180"/>
      <c r="AA52" s="180"/>
      <c r="AB52" s="180"/>
    </row>
    <row r="53" spans="2:28">
      <c r="F53" s="180"/>
      <c r="G53" s="496" t="s">
        <v>111</v>
      </c>
      <c r="H53" s="496"/>
      <c r="I53" s="497"/>
      <c r="J53" s="310">
        <f t="shared" si="0"/>
        <v>87</v>
      </c>
      <c r="K53" s="314">
        <f t="shared" si="1"/>
        <v>9.1578947368421051E-2</v>
      </c>
      <c r="L53" s="310">
        <f t="shared" si="2"/>
        <v>76</v>
      </c>
      <c r="M53" s="314">
        <f t="shared" si="3"/>
        <v>8.2698585418933629E-2</v>
      </c>
      <c r="O53" s="180"/>
      <c r="W53" s="180"/>
      <c r="X53" s="180"/>
      <c r="Y53" s="180"/>
      <c r="Z53" s="180"/>
      <c r="AA53" s="180"/>
      <c r="AB53" s="180"/>
    </row>
    <row r="54" spans="2:28">
      <c r="F54" s="180"/>
      <c r="G54" s="496" t="s">
        <v>110</v>
      </c>
      <c r="H54" s="496"/>
      <c r="I54" s="503"/>
      <c r="J54" s="310">
        <f t="shared" si="0"/>
        <v>148</v>
      </c>
      <c r="K54" s="314">
        <f t="shared" si="1"/>
        <v>0.15578947368421053</v>
      </c>
      <c r="L54" s="310">
        <f t="shared" si="2"/>
        <v>108</v>
      </c>
      <c r="M54" s="314">
        <f t="shared" si="3"/>
        <v>0.117519042437432</v>
      </c>
      <c r="O54" s="180"/>
      <c r="W54" s="180"/>
      <c r="X54" s="180"/>
      <c r="Y54" s="180"/>
      <c r="Z54" s="180"/>
      <c r="AA54" s="180"/>
      <c r="AB54" s="180"/>
    </row>
    <row r="55" spans="2:28" ht="15.75" thickBot="1">
      <c r="F55" s="180"/>
      <c r="G55" s="496" t="str">
        <f>+B36</f>
        <v>Otros</v>
      </c>
      <c r="H55" s="496"/>
      <c r="I55" s="497"/>
      <c r="J55" s="195">
        <f>SUM(D17:G17,K17:N17,R17:U17,Y17:AB17)</f>
        <v>4</v>
      </c>
      <c r="K55" s="315">
        <f>+J55/$J$57</f>
        <v>4.2105263157894736E-3</v>
      </c>
      <c r="L55" s="195">
        <f>SUM(D36:G36,K36:N36,R36:U36,Y36:AB36)</f>
        <v>11</v>
      </c>
      <c r="M55" s="315">
        <f>+L55/$L$57</f>
        <v>1.1969532100108813E-2</v>
      </c>
      <c r="V55" s="180"/>
      <c r="W55" s="180"/>
      <c r="X55"/>
      <c r="Y55"/>
      <c r="Z55"/>
      <c r="AA55"/>
      <c r="AB55"/>
    </row>
    <row r="56" spans="2:28" ht="6" customHeight="1" thickBot="1">
      <c r="F56" s="180"/>
      <c r="V56" s="180"/>
      <c r="W56" s="180"/>
      <c r="X56"/>
      <c r="Y56"/>
      <c r="Z56"/>
      <c r="AA56"/>
      <c r="AB56"/>
    </row>
    <row r="57" spans="2:28" ht="15.75" thickBot="1">
      <c r="F57" s="180"/>
      <c r="I57" s="300" t="s">
        <v>46</v>
      </c>
      <c r="J57" s="301">
        <f>+SUM(J49:J55)</f>
        <v>950</v>
      </c>
      <c r="K57" s="302">
        <f>+SUM(K49:K55)</f>
        <v>1</v>
      </c>
      <c r="L57" s="301">
        <f>+SUM(L49:L55)</f>
        <v>919</v>
      </c>
      <c r="M57" s="303">
        <f>+SUM(M49:M55)</f>
        <v>0.99999999999999978</v>
      </c>
      <c r="O57" s="180"/>
      <c r="W57" s="180"/>
      <c r="X57" s="180"/>
      <c r="Y57" s="180"/>
      <c r="Z57" s="180"/>
      <c r="AA57" s="180"/>
      <c r="AB57" s="180"/>
    </row>
    <row r="58" spans="2:28">
      <c r="B58" s="180"/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0"/>
      <c r="U58" s="180"/>
      <c r="W58" s="180"/>
      <c r="X58" s="180"/>
      <c r="Y58" s="180"/>
      <c r="Z58" s="180"/>
      <c r="AA58" s="180"/>
      <c r="AB58" s="180"/>
    </row>
    <row r="59" spans="2:28">
      <c r="B59" s="180"/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W59" s="180"/>
      <c r="X59" s="180"/>
      <c r="Y59" s="180"/>
      <c r="Z59" s="180"/>
      <c r="AA59" s="180"/>
      <c r="AB59" s="180"/>
    </row>
    <row r="60" spans="2:28">
      <c r="B60" s="180"/>
      <c r="C60" s="180"/>
      <c r="D60" s="180"/>
      <c r="E60" s="180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0"/>
      <c r="U60" s="180"/>
      <c r="W60" s="180"/>
      <c r="X60" s="180"/>
      <c r="Y60" s="180"/>
      <c r="Z60" s="180"/>
      <c r="AA60" s="180"/>
      <c r="AB60" s="180"/>
    </row>
    <row r="61" spans="2:28">
      <c r="B61" s="180"/>
      <c r="C61" s="180"/>
      <c r="D61" s="180"/>
      <c r="E61" s="180"/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0"/>
      <c r="U61" s="180"/>
      <c r="W61" s="180"/>
      <c r="X61" s="180"/>
      <c r="Y61" s="180"/>
      <c r="Z61" s="180"/>
      <c r="AA61" s="180"/>
      <c r="AB61" s="180"/>
    </row>
    <row r="62" spans="2:28">
      <c r="B62" s="180"/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0"/>
      <c r="U62" s="180"/>
      <c r="W62" s="180"/>
      <c r="X62" s="180"/>
      <c r="Y62" s="180"/>
      <c r="Z62" s="180"/>
      <c r="AA62" s="180"/>
      <c r="AB62" s="180"/>
    </row>
    <row r="63" spans="2:28">
      <c r="B63" s="180"/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0"/>
      <c r="W63" s="180"/>
      <c r="X63" s="180"/>
      <c r="Y63" s="180"/>
      <c r="Z63" s="180"/>
      <c r="AA63" s="180"/>
      <c r="AB63" s="180"/>
    </row>
    <row r="64" spans="2:28">
      <c r="B64" s="180"/>
      <c r="C64" s="180"/>
      <c r="D64" s="180"/>
      <c r="E64" s="180"/>
      <c r="F64" s="180"/>
      <c r="G64" s="180"/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0"/>
      <c r="U64" s="180"/>
      <c r="W64" s="180"/>
      <c r="X64" s="180"/>
      <c r="Y64" s="180"/>
      <c r="Z64" s="180"/>
      <c r="AA64" s="180"/>
      <c r="AB64" s="180"/>
    </row>
    <row r="65" spans="2:28">
      <c r="B65" s="180"/>
      <c r="C65" s="180"/>
      <c r="D65" s="180"/>
      <c r="E65" s="180"/>
      <c r="F65" s="180"/>
      <c r="G65" s="180"/>
      <c r="H65" s="180"/>
      <c r="I65" s="180"/>
      <c r="J65" s="180"/>
      <c r="K65" s="180"/>
      <c r="L65" s="180"/>
      <c r="M65" s="180"/>
      <c r="N65" s="180"/>
      <c r="O65" s="180"/>
      <c r="P65" s="180"/>
      <c r="Q65" s="180"/>
      <c r="R65" s="180"/>
      <c r="S65" s="180"/>
      <c r="T65" s="180"/>
      <c r="U65" s="180"/>
      <c r="W65" s="180"/>
      <c r="X65" s="180"/>
      <c r="Y65" s="180"/>
      <c r="Z65" s="180"/>
      <c r="AA65" s="180"/>
      <c r="AB65" s="180"/>
    </row>
    <row r="66" spans="2:28">
      <c r="B66" s="180"/>
      <c r="C66" s="180"/>
      <c r="D66" s="180"/>
      <c r="E66" s="180"/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0"/>
      <c r="U66" s="180"/>
      <c r="W66" s="180"/>
      <c r="X66" s="180"/>
      <c r="Y66" s="180"/>
      <c r="Z66" s="180"/>
      <c r="AA66" s="180"/>
      <c r="AB66" s="180"/>
    </row>
    <row r="67" spans="2:28">
      <c r="B67" s="180"/>
      <c r="C67" s="180"/>
      <c r="D67" s="180"/>
      <c r="E67" s="180"/>
      <c r="F67" s="180"/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0"/>
      <c r="U67" s="180"/>
      <c r="W67" s="180"/>
      <c r="X67" s="180"/>
      <c r="Y67" s="180"/>
      <c r="Z67" s="180"/>
      <c r="AA67" s="180"/>
      <c r="AB67" s="180"/>
    </row>
    <row r="68" spans="2:28">
      <c r="B68" s="180"/>
      <c r="C68" s="180"/>
      <c r="D68" s="180"/>
      <c r="E68" s="180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0"/>
      <c r="U68" s="180"/>
      <c r="W68" s="180"/>
      <c r="X68" s="180"/>
      <c r="Y68" s="180"/>
      <c r="Z68" s="180"/>
      <c r="AA68" s="180"/>
      <c r="AB68" s="180"/>
    </row>
    <row r="69" spans="2:28">
      <c r="B69" s="180"/>
      <c r="C69" s="180"/>
      <c r="D69" s="180"/>
      <c r="E69" s="180"/>
      <c r="F69" s="180"/>
      <c r="G69" s="180"/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  <c r="S69" s="180"/>
      <c r="T69" s="180"/>
      <c r="U69" s="180"/>
      <c r="W69" s="180"/>
      <c r="X69" s="180"/>
      <c r="Y69" s="180"/>
      <c r="Z69" s="180"/>
      <c r="AA69" s="180"/>
      <c r="AB69" s="180"/>
    </row>
    <row r="70" spans="2:28">
      <c r="B70" s="180"/>
      <c r="C70" s="180"/>
      <c r="D70" s="180"/>
      <c r="E70" s="180"/>
      <c r="F70" s="180"/>
      <c r="G70" s="180"/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0"/>
      <c r="U70" s="180"/>
      <c r="W70" s="180"/>
      <c r="X70" s="180"/>
      <c r="Y70" s="180"/>
      <c r="Z70" s="180"/>
      <c r="AA70" s="180"/>
      <c r="AB70" s="180"/>
    </row>
    <row r="71" spans="2:28">
      <c r="B71" s="18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0"/>
      <c r="U71" s="180"/>
      <c r="W71" s="180"/>
      <c r="X71" s="180"/>
      <c r="Y71" s="180"/>
      <c r="Z71" s="180"/>
      <c r="AA71" s="180"/>
      <c r="AB71" s="180"/>
    </row>
    <row r="72" spans="2:28">
      <c r="B72" s="180"/>
      <c r="C72" s="180"/>
      <c r="D72" s="180"/>
      <c r="E72" s="180"/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0"/>
      <c r="U72" s="180"/>
      <c r="W72" s="180"/>
      <c r="X72" s="180"/>
      <c r="Y72" s="180"/>
      <c r="Z72" s="180"/>
      <c r="AA72" s="180"/>
      <c r="AB72" s="180"/>
    </row>
    <row r="73" spans="2:28">
      <c r="B73" s="180"/>
      <c r="C73" s="180"/>
      <c r="D73" s="180"/>
      <c r="E73" s="180"/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0"/>
      <c r="U73" s="180"/>
      <c r="W73" s="180"/>
      <c r="X73" s="180"/>
      <c r="Y73" s="180"/>
      <c r="Z73" s="180"/>
      <c r="AA73" s="180"/>
      <c r="AB73" s="180"/>
    </row>
    <row r="74" spans="2:28"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W74" s="180"/>
      <c r="X74" s="180"/>
      <c r="Y74" s="180"/>
      <c r="Z74" s="180"/>
      <c r="AA74" s="180"/>
      <c r="AB74" s="180"/>
    </row>
    <row r="75" spans="2:28">
      <c r="B75" s="180"/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0"/>
      <c r="U75" s="180"/>
      <c r="W75" s="180"/>
      <c r="X75" s="180"/>
      <c r="Y75" s="180"/>
      <c r="Z75" s="180"/>
      <c r="AA75" s="180"/>
      <c r="AB75" s="180"/>
    </row>
    <row r="76" spans="2:28"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W76" s="180"/>
      <c r="X76" s="180"/>
      <c r="Y76" s="180"/>
      <c r="Z76" s="180"/>
      <c r="AA76" s="180"/>
      <c r="AB76" s="180"/>
    </row>
    <row r="77" spans="2:28">
      <c r="B77" s="180"/>
      <c r="C77" s="180"/>
      <c r="D77" s="180"/>
      <c r="E77" s="180"/>
      <c r="F77" s="180"/>
      <c r="G77" s="180"/>
      <c r="H77" s="180"/>
      <c r="I77" s="180"/>
      <c r="J77" s="180"/>
      <c r="K77" s="180"/>
      <c r="L77" s="180"/>
      <c r="M77" s="180"/>
      <c r="N77" s="180"/>
      <c r="O77" s="180"/>
      <c r="P77" s="180"/>
      <c r="Q77" s="180"/>
      <c r="R77" s="180"/>
      <c r="S77" s="180"/>
      <c r="T77" s="180"/>
      <c r="U77" s="180"/>
      <c r="W77" s="180"/>
      <c r="X77" s="180"/>
      <c r="Y77" s="180"/>
      <c r="Z77" s="180"/>
      <c r="AA77" s="180"/>
      <c r="AB77" s="180"/>
    </row>
    <row r="78" spans="2:28">
      <c r="B78" s="180"/>
      <c r="C78" s="180"/>
      <c r="D78" s="180"/>
      <c r="E78" s="180"/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0"/>
      <c r="U78" s="180"/>
      <c r="W78" s="180"/>
      <c r="X78" s="180"/>
      <c r="Y78" s="180"/>
      <c r="Z78" s="180"/>
      <c r="AA78" s="180"/>
      <c r="AB78" s="180"/>
    </row>
    <row r="79" spans="2:28">
      <c r="B79" s="180"/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0"/>
      <c r="U79" s="180"/>
      <c r="W79" s="180"/>
      <c r="X79" s="180"/>
      <c r="Y79" s="180"/>
      <c r="Z79" s="180"/>
      <c r="AA79" s="180"/>
      <c r="AB79" s="180"/>
    </row>
    <row r="80" spans="2:28">
      <c r="B80" s="180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0"/>
      <c r="U80" s="180"/>
      <c r="W80" s="180"/>
      <c r="X80" s="180"/>
      <c r="Y80" s="180"/>
      <c r="Z80" s="180"/>
      <c r="AA80" s="180"/>
      <c r="AB80" s="180"/>
    </row>
    <row r="81" spans="2:28"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180"/>
      <c r="N81" s="180"/>
      <c r="O81" s="180"/>
      <c r="P81" s="180"/>
      <c r="Q81" s="180"/>
      <c r="R81" s="180"/>
      <c r="S81" s="180"/>
      <c r="T81" s="180"/>
      <c r="U81" s="180"/>
      <c r="W81" s="180"/>
      <c r="X81" s="180"/>
      <c r="Y81" s="180"/>
      <c r="Z81" s="180"/>
      <c r="AA81" s="180"/>
      <c r="AB81" s="180"/>
    </row>
    <row r="82" spans="2:28">
      <c r="B82" s="180"/>
      <c r="C82" s="180"/>
      <c r="D82" s="180"/>
      <c r="E82" s="180"/>
      <c r="F82" s="180"/>
      <c r="G82" s="180"/>
      <c r="H82" s="180"/>
      <c r="I82" s="180"/>
      <c r="J82" s="180"/>
      <c r="K82" s="180"/>
      <c r="L82" s="180"/>
      <c r="M82" s="180"/>
      <c r="N82" s="180"/>
      <c r="O82" s="180"/>
      <c r="P82" s="180"/>
      <c r="Q82" s="180"/>
      <c r="R82" s="180"/>
      <c r="S82" s="180"/>
      <c r="T82" s="180"/>
      <c r="U82" s="180"/>
      <c r="W82" s="180"/>
      <c r="X82" s="180"/>
      <c r="Y82" s="180"/>
      <c r="Z82" s="180"/>
      <c r="AA82" s="180"/>
      <c r="AB82" s="180"/>
    </row>
    <row r="83" spans="2:28">
      <c r="B83" s="180"/>
      <c r="C83" s="180"/>
      <c r="D83" s="180"/>
      <c r="E83" s="180"/>
      <c r="F83" s="180"/>
      <c r="G83" s="180"/>
      <c r="H83" s="180"/>
      <c r="I83" s="180"/>
      <c r="J83" s="180"/>
      <c r="K83" s="180"/>
      <c r="L83" s="180"/>
      <c r="M83" s="180"/>
      <c r="N83" s="180"/>
      <c r="O83" s="180"/>
      <c r="P83" s="180"/>
      <c r="Q83" s="180"/>
      <c r="R83" s="180"/>
      <c r="S83" s="180"/>
      <c r="T83" s="180"/>
      <c r="U83" s="180"/>
      <c r="W83" s="180"/>
      <c r="X83" s="180"/>
      <c r="Y83" s="180"/>
      <c r="Z83" s="180"/>
      <c r="AA83" s="180"/>
      <c r="AB83" s="180"/>
    </row>
    <row r="84" spans="2:28">
      <c r="B84" s="180"/>
      <c r="C84" s="180"/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80"/>
      <c r="S84" s="180"/>
      <c r="T84" s="180"/>
      <c r="U84" s="180"/>
      <c r="W84" s="180"/>
      <c r="X84" s="180"/>
      <c r="Y84" s="180"/>
      <c r="Z84" s="180"/>
      <c r="AA84" s="180"/>
      <c r="AB84" s="180"/>
    </row>
    <row r="85" spans="2:28">
      <c r="B85" s="180"/>
      <c r="C85" s="180"/>
      <c r="D85" s="180"/>
      <c r="E85" s="180"/>
      <c r="F85" s="180"/>
      <c r="G85" s="180"/>
      <c r="H85" s="180"/>
      <c r="I85" s="180"/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0"/>
      <c r="U85" s="180"/>
      <c r="W85" s="180"/>
      <c r="X85" s="180"/>
      <c r="Y85" s="180"/>
      <c r="Z85" s="180"/>
      <c r="AA85" s="180"/>
      <c r="AB85" s="180"/>
    </row>
    <row r="86" spans="2:28">
      <c r="B86" s="180"/>
      <c r="C86" s="180"/>
      <c r="D86" s="180"/>
      <c r="E86" s="180"/>
      <c r="F86" s="180"/>
      <c r="G86" s="180"/>
      <c r="H86" s="180"/>
      <c r="I86" s="180"/>
      <c r="J86" s="180"/>
      <c r="K86" s="180"/>
      <c r="L86" s="180"/>
      <c r="M86" s="180"/>
      <c r="N86" s="180"/>
      <c r="O86" s="180"/>
      <c r="P86" s="180"/>
      <c r="Q86" s="180"/>
      <c r="R86" s="180"/>
      <c r="S86" s="180"/>
      <c r="T86" s="180"/>
      <c r="U86" s="180"/>
      <c r="W86" s="180"/>
      <c r="X86" s="180"/>
      <c r="Y86" s="180"/>
      <c r="Z86" s="180"/>
      <c r="AA86" s="180"/>
      <c r="AB86" s="180"/>
    </row>
    <row r="87" spans="2:28">
      <c r="B87" s="180"/>
      <c r="C87" s="180"/>
      <c r="D87" s="180"/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0"/>
      <c r="U87" s="180"/>
      <c r="W87" s="180"/>
      <c r="X87" s="180"/>
      <c r="Y87" s="180"/>
      <c r="Z87" s="180"/>
      <c r="AA87" s="180"/>
      <c r="AB87" s="180"/>
    </row>
    <row r="88" spans="2:28">
      <c r="B88" s="180"/>
      <c r="C88" s="180"/>
      <c r="D88" s="180"/>
      <c r="E88" s="180"/>
      <c r="F88" s="180"/>
      <c r="G88" s="180"/>
      <c r="H88" s="180"/>
      <c r="I88" s="180"/>
      <c r="J88" s="180"/>
      <c r="K88" s="180"/>
      <c r="L88" s="180"/>
      <c r="M88" s="180"/>
      <c r="N88" s="180"/>
      <c r="O88" s="180"/>
      <c r="P88" s="180"/>
      <c r="Q88" s="180"/>
      <c r="R88" s="180"/>
      <c r="S88" s="180"/>
      <c r="T88" s="180"/>
      <c r="U88" s="180"/>
      <c r="W88" s="180"/>
      <c r="X88" s="180"/>
      <c r="Y88" s="180"/>
      <c r="Z88" s="180"/>
      <c r="AA88" s="180"/>
      <c r="AB88" s="180"/>
    </row>
    <row r="89" spans="2:28">
      <c r="B89" s="180"/>
      <c r="C89" s="180"/>
      <c r="D89" s="180"/>
      <c r="E89" s="180"/>
      <c r="F89" s="180"/>
      <c r="G89" s="180"/>
      <c r="H89" s="180"/>
      <c r="I89" s="180"/>
      <c r="J89" s="180"/>
      <c r="K89" s="180"/>
      <c r="L89" s="180"/>
      <c r="M89" s="180"/>
      <c r="N89" s="180"/>
      <c r="O89" s="180"/>
      <c r="P89" s="180"/>
      <c r="Q89" s="180"/>
      <c r="R89" s="180"/>
      <c r="S89" s="180"/>
      <c r="T89" s="180"/>
      <c r="U89" s="180"/>
      <c r="W89" s="180"/>
      <c r="X89" s="180"/>
      <c r="Y89" s="180"/>
      <c r="Z89" s="180"/>
      <c r="AA89" s="180"/>
      <c r="AB89" s="180"/>
    </row>
    <row r="90" spans="2:28">
      <c r="B90" s="180"/>
      <c r="C90" s="180"/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0"/>
      <c r="U90" s="180"/>
      <c r="W90" s="180"/>
      <c r="X90" s="180"/>
      <c r="Y90" s="180"/>
      <c r="Z90" s="180"/>
      <c r="AA90" s="180"/>
      <c r="AB90" s="180"/>
    </row>
    <row r="91" spans="2:28">
      <c r="B91" s="180"/>
      <c r="C91" s="180"/>
      <c r="D91" s="180"/>
      <c r="E91" s="180"/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  <c r="S91" s="180"/>
      <c r="T91" s="180"/>
      <c r="U91" s="180"/>
      <c r="W91" s="180"/>
      <c r="X91" s="180"/>
      <c r="Y91" s="180"/>
      <c r="Z91" s="180"/>
      <c r="AA91" s="180"/>
      <c r="AB91" s="180"/>
    </row>
    <row r="92" spans="2:28">
      <c r="B92" s="180"/>
      <c r="C92" s="180"/>
      <c r="D92" s="180"/>
      <c r="E92" s="180"/>
      <c r="F92" s="180"/>
      <c r="G92" s="180"/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W92" s="180"/>
      <c r="X92" s="180"/>
      <c r="Y92" s="180"/>
      <c r="Z92" s="180"/>
      <c r="AA92" s="180"/>
      <c r="AB92" s="180"/>
    </row>
    <row r="93" spans="2:28">
      <c r="B93" s="180"/>
      <c r="C93" s="180"/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  <c r="S93" s="180"/>
      <c r="T93" s="180"/>
      <c r="U93" s="180"/>
      <c r="W93" s="180"/>
      <c r="X93" s="180"/>
      <c r="Y93" s="180"/>
      <c r="Z93" s="180"/>
      <c r="AA93" s="180"/>
      <c r="AB93" s="180"/>
    </row>
    <row r="94" spans="2:28">
      <c r="B94" s="180"/>
      <c r="C94" s="180"/>
      <c r="D94" s="180"/>
      <c r="E94" s="180"/>
      <c r="F94" s="180"/>
      <c r="G94" s="180"/>
      <c r="H94" s="180"/>
      <c r="I94" s="180"/>
      <c r="J94" s="180"/>
      <c r="K94" s="180"/>
      <c r="L94" s="180"/>
      <c r="M94" s="180"/>
      <c r="N94" s="180"/>
      <c r="O94" s="180"/>
      <c r="P94" s="180"/>
      <c r="Q94" s="180"/>
      <c r="R94" s="180"/>
      <c r="S94" s="180"/>
      <c r="T94" s="180"/>
      <c r="U94" s="180"/>
      <c r="W94" s="180"/>
      <c r="X94" s="180"/>
      <c r="Y94" s="180"/>
      <c r="Z94" s="180"/>
      <c r="AA94" s="180"/>
      <c r="AB94" s="180"/>
    </row>
    <row r="95" spans="2:28">
      <c r="B95" s="180"/>
      <c r="C95" s="180"/>
      <c r="D95" s="180"/>
      <c r="E95" s="180"/>
      <c r="F95" s="180"/>
      <c r="G95" s="180"/>
      <c r="H95" s="180"/>
      <c r="I95" s="180"/>
      <c r="J95" s="180"/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W95" s="180"/>
      <c r="X95" s="180"/>
      <c r="Y95" s="180"/>
      <c r="Z95" s="180"/>
      <c r="AA95" s="180"/>
      <c r="AB95" s="180"/>
    </row>
    <row r="96" spans="2:28">
      <c r="B96" s="180"/>
      <c r="C96" s="180"/>
      <c r="D96" s="180"/>
      <c r="E96" s="180"/>
      <c r="F96" s="180"/>
      <c r="G96" s="180"/>
      <c r="H96" s="180"/>
      <c r="I96" s="180"/>
      <c r="J96" s="180"/>
      <c r="K96" s="180"/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W96" s="180"/>
      <c r="X96" s="180"/>
      <c r="Y96" s="180"/>
      <c r="Z96" s="180"/>
      <c r="AA96" s="180"/>
      <c r="AB96" s="180"/>
    </row>
    <row r="97" spans="2:28">
      <c r="B97" s="180"/>
      <c r="C97" s="180"/>
      <c r="D97" s="180"/>
      <c r="E97" s="180"/>
      <c r="F97" s="180"/>
      <c r="G97" s="180"/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  <c r="S97" s="180"/>
      <c r="T97" s="180"/>
      <c r="U97" s="180"/>
      <c r="W97" s="180"/>
      <c r="X97" s="180"/>
      <c r="Y97" s="180"/>
      <c r="Z97" s="180"/>
      <c r="AA97" s="180"/>
      <c r="AB97" s="180"/>
    </row>
    <row r="98" spans="2:28">
      <c r="B98" s="180"/>
      <c r="C98" s="180"/>
      <c r="D98" s="180"/>
      <c r="E98" s="180"/>
      <c r="F98" s="180"/>
      <c r="G98" s="180"/>
      <c r="H98" s="180"/>
      <c r="I98" s="180"/>
      <c r="J98" s="180"/>
      <c r="K98" s="180"/>
      <c r="L98" s="180"/>
      <c r="M98" s="180"/>
      <c r="N98" s="180"/>
      <c r="O98" s="180"/>
      <c r="P98" s="180"/>
      <c r="Q98" s="180"/>
      <c r="R98" s="180"/>
      <c r="S98" s="180"/>
      <c r="T98" s="180"/>
      <c r="U98" s="180"/>
      <c r="W98" s="180"/>
      <c r="X98" s="180"/>
      <c r="Y98" s="180"/>
      <c r="Z98" s="180"/>
      <c r="AA98" s="180"/>
      <c r="AB98" s="180"/>
    </row>
    <row r="99" spans="2:28">
      <c r="B99" s="180"/>
      <c r="C99" s="180"/>
      <c r="D99" s="180"/>
      <c r="E99" s="180"/>
      <c r="F99" s="180"/>
      <c r="G99" s="180"/>
      <c r="H99" s="180"/>
      <c r="I99" s="180"/>
      <c r="J99" s="180"/>
      <c r="K99" s="180"/>
      <c r="L99" s="180"/>
      <c r="M99" s="180"/>
      <c r="N99" s="180"/>
      <c r="O99" s="180"/>
      <c r="P99" s="180"/>
      <c r="Q99" s="180"/>
      <c r="R99" s="180"/>
      <c r="S99" s="180"/>
      <c r="T99" s="180"/>
      <c r="U99" s="180"/>
      <c r="W99" s="180"/>
      <c r="X99" s="180"/>
      <c r="Y99" s="180"/>
      <c r="Z99" s="180"/>
      <c r="AA99" s="180"/>
      <c r="AB99" s="180"/>
    </row>
    <row r="100" spans="2:28">
      <c r="B100" s="180"/>
      <c r="C100" s="180"/>
      <c r="D100" s="180"/>
      <c r="E100" s="180"/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  <c r="W100" s="180"/>
      <c r="X100" s="180"/>
      <c r="Y100" s="180"/>
      <c r="Z100" s="180"/>
      <c r="AA100" s="180"/>
      <c r="AB100" s="180"/>
    </row>
  </sheetData>
  <mergeCells count="182">
    <mergeCell ref="D12:E12"/>
    <mergeCell ref="D13:E13"/>
    <mergeCell ref="D14:E14"/>
    <mergeCell ref="D27:G27"/>
    <mergeCell ref="K27:N27"/>
    <mergeCell ref="T30:U30"/>
    <mergeCell ref="T32:U32"/>
    <mergeCell ref="T34:U34"/>
    <mergeCell ref="R20:S20"/>
    <mergeCell ref="M17:N17"/>
    <mergeCell ref="R28:S28"/>
    <mergeCell ref="T28:U28"/>
    <mergeCell ref="R29:S29"/>
    <mergeCell ref="T29:U29"/>
    <mergeCell ref="M28:N28"/>
    <mergeCell ref="D20:E20"/>
    <mergeCell ref="R17:S17"/>
    <mergeCell ref="M16:N16"/>
    <mergeCell ref="K8:N8"/>
    <mergeCell ref="M9:N9"/>
    <mergeCell ref="T9:U9"/>
    <mergeCell ref="R9:S9"/>
    <mergeCell ref="R11:S11"/>
    <mergeCell ref="R12:S12"/>
    <mergeCell ref="R13:S13"/>
    <mergeCell ref="R14:S14"/>
    <mergeCell ref="R15:S15"/>
    <mergeCell ref="T12:U12"/>
    <mergeCell ref="T13:U13"/>
    <mergeCell ref="T14:U14"/>
    <mergeCell ref="T15:U15"/>
    <mergeCell ref="M12:N12"/>
    <mergeCell ref="M13:N13"/>
    <mergeCell ref="M14:N14"/>
    <mergeCell ref="M15:N15"/>
    <mergeCell ref="Y20:Z20"/>
    <mergeCell ref="D8:G8"/>
    <mergeCell ref="K11:L11"/>
    <mergeCell ref="K9:L9"/>
    <mergeCell ref="D15:E15"/>
    <mergeCell ref="D16:E16"/>
    <mergeCell ref="D17:E17"/>
    <mergeCell ref="F11:G11"/>
    <mergeCell ref="F12:G12"/>
    <mergeCell ref="F13:G13"/>
    <mergeCell ref="F14:G14"/>
    <mergeCell ref="F15:G15"/>
    <mergeCell ref="F16:G16"/>
    <mergeCell ref="F17:G17"/>
    <mergeCell ref="D9:E9"/>
    <mergeCell ref="D11:E11"/>
    <mergeCell ref="F9:G9"/>
    <mergeCell ref="K14:L14"/>
    <mergeCell ref="K15:L15"/>
    <mergeCell ref="K16:L16"/>
    <mergeCell ref="K17:L17"/>
    <mergeCell ref="K12:L12"/>
    <mergeCell ref="K13:L13"/>
    <mergeCell ref="M11:N11"/>
    <mergeCell ref="Y28:Z28"/>
    <mergeCell ref="AA28:AB28"/>
    <mergeCell ref="Y15:Z15"/>
    <mergeCell ref="Y16:Z16"/>
    <mergeCell ref="Y17:Z17"/>
    <mergeCell ref="Y8:AB8"/>
    <mergeCell ref="Y9:Z9"/>
    <mergeCell ref="T16:U16"/>
    <mergeCell ref="T17:U17"/>
    <mergeCell ref="T11:U11"/>
    <mergeCell ref="R8:U8"/>
    <mergeCell ref="AA9:AB9"/>
    <mergeCell ref="AA11:AB11"/>
    <mergeCell ref="AA12:AB12"/>
    <mergeCell ref="AA13:AB13"/>
    <mergeCell ref="AA14:AB14"/>
    <mergeCell ref="AA15:AB15"/>
    <mergeCell ref="AA16:AB16"/>
    <mergeCell ref="AA17:AB17"/>
    <mergeCell ref="Y11:Z11"/>
    <mergeCell ref="Y12:Z12"/>
    <mergeCell ref="Y13:Z13"/>
    <mergeCell ref="Y14:Z14"/>
    <mergeCell ref="R16:S16"/>
    <mergeCell ref="Y30:Z30"/>
    <mergeCell ref="AA30:AB30"/>
    <mergeCell ref="D31:E31"/>
    <mergeCell ref="F31:G31"/>
    <mergeCell ref="K31:L31"/>
    <mergeCell ref="M31:N31"/>
    <mergeCell ref="R31:S31"/>
    <mergeCell ref="T31:U31"/>
    <mergeCell ref="Y31:Z31"/>
    <mergeCell ref="AA31:AB31"/>
    <mergeCell ref="D30:E30"/>
    <mergeCell ref="F30:G30"/>
    <mergeCell ref="K30:L30"/>
    <mergeCell ref="M30:N30"/>
    <mergeCell ref="R30:S30"/>
    <mergeCell ref="Y32:Z32"/>
    <mergeCell ref="AA32:AB32"/>
    <mergeCell ref="D33:E33"/>
    <mergeCell ref="F33:G33"/>
    <mergeCell ref="K33:L33"/>
    <mergeCell ref="M33:N33"/>
    <mergeCell ref="R33:S33"/>
    <mergeCell ref="T33:U33"/>
    <mergeCell ref="Y33:Z33"/>
    <mergeCell ref="AA33:AB33"/>
    <mergeCell ref="D32:E32"/>
    <mergeCell ref="F32:G32"/>
    <mergeCell ref="K32:L32"/>
    <mergeCell ref="M32:N32"/>
    <mergeCell ref="R32:S32"/>
    <mergeCell ref="Y34:Z34"/>
    <mergeCell ref="AA34:AB34"/>
    <mergeCell ref="D35:E35"/>
    <mergeCell ref="F35:G35"/>
    <mergeCell ref="K35:L35"/>
    <mergeCell ref="M35:N35"/>
    <mergeCell ref="R35:S35"/>
    <mergeCell ref="T35:U35"/>
    <mergeCell ref="Y35:Z35"/>
    <mergeCell ref="AA35:AB35"/>
    <mergeCell ref="D34:E34"/>
    <mergeCell ref="F34:G34"/>
    <mergeCell ref="K34:L34"/>
    <mergeCell ref="M34:N34"/>
    <mergeCell ref="R34:S34"/>
    <mergeCell ref="Y36:Z36"/>
    <mergeCell ref="AA36:AB36"/>
    <mergeCell ref="D39:E39"/>
    <mergeCell ref="K39:L39"/>
    <mergeCell ref="R39:S39"/>
    <mergeCell ref="Y39:Z39"/>
    <mergeCell ref="D36:E36"/>
    <mergeCell ref="F36:G36"/>
    <mergeCell ref="K36:L36"/>
    <mergeCell ref="M36:N36"/>
    <mergeCell ref="R36:S36"/>
    <mergeCell ref="T36:U36"/>
    <mergeCell ref="Y29:Z29"/>
    <mergeCell ref="AA29:AB29"/>
    <mergeCell ref="B27:C29"/>
    <mergeCell ref="I27:J29"/>
    <mergeCell ref="P27:Q29"/>
    <mergeCell ref="W27:X29"/>
    <mergeCell ref="B8:C10"/>
    <mergeCell ref="D10:E10"/>
    <mergeCell ref="F10:G10"/>
    <mergeCell ref="K10:L10"/>
    <mergeCell ref="M10:N10"/>
    <mergeCell ref="R10:S10"/>
    <mergeCell ref="T10:U10"/>
    <mergeCell ref="Y10:Z10"/>
    <mergeCell ref="AA10:AB10"/>
    <mergeCell ref="P8:Q10"/>
    <mergeCell ref="I8:J10"/>
    <mergeCell ref="W8:X10"/>
    <mergeCell ref="R27:U27"/>
    <mergeCell ref="Y27:AB27"/>
    <mergeCell ref="D28:E28"/>
    <mergeCell ref="F28:G28"/>
    <mergeCell ref="K20:L20"/>
    <mergeCell ref="K28:L28"/>
    <mergeCell ref="G55:I55"/>
    <mergeCell ref="G43:M43"/>
    <mergeCell ref="J47:K47"/>
    <mergeCell ref="L47:M47"/>
    <mergeCell ref="B48:C48"/>
    <mergeCell ref="B42:E42"/>
    <mergeCell ref="D29:E29"/>
    <mergeCell ref="F29:G29"/>
    <mergeCell ref="K29:L29"/>
    <mergeCell ref="M29:N29"/>
    <mergeCell ref="G48:I48"/>
    <mergeCell ref="G49:I49"/>
    <mergeCell ref="G50:I50"/>
    <mergeCell ref="G51:I51"/>
    <mergeCell ref="G52:I52"/>
    <mergeCell ref="G53:I53"/>
    <mergeCell ref="G54:I54"/>
    <mergeCell ref="B43:C43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W102"/>
  <sheetViews>
    <sheetView showGridLines="0" topLeftCell="A13" zoomScale="85" zoomScaleNormal="85" workbookViewId="0">
      <selection activeCell="S51" sqref="S51"/>
    </sheetView>
  </sheetViews>
  <sheetFormatPr baseColWidth="10" defaultColWidth="9.140625" defaultRowHeight="15"/>
  <cols>
    <col min="1" max="1" width="9.140625" style="179"/>
    <col min="2" max="3" width="14.5703125" style="179" customWidth="1"/>
    <col min="4" max="5" width="12.5703125" style="179" customWidth="1"/>
    <col min="6" max="6" width="11.5703125" style="179" bestFit="1" customWidth="1"/>
    <col min="7" max="7" width="14.28515625" style="179" customWidth="1"/>
    <col min="8" max="8" width="15.42578125" style="179" customWidth="1"/>
    <col min="9" max="9" width="13.85546875" style="179" customWidth="1"/>
    <col min="10" max="10" width="14.85546875" style="179" customWidth="1"/>
    <col min="11" max="12" width="12.5703125" style="179" customWidth="1"/>
    <col min="13" max="14" width="11.7109375" style="179" customWidth="1"/>
    <col min="15" max="15" width="9.140625" style="179"/>
    <col min="16" max="16" width="13.85546875" style="179" customWidth="1"/>
    <col min="17" max="17" width="14.85546875" style="179" customWidth="1"/>
    <col min="18" max="19" width="12.5703125" style="179" customWidth="1"/>
    <col min="20" max="21" width="11.7109375" style="179" customWidth="1"/>
  </cols>
  <sheetData>
    <row r="1" spans="2:22" ht="28.5" customHeight="1">
      <c r="B1" s="182" t="s">
        <v>130</v>
      </c>
    </row>
    <row r="2" spans="2:22" ht="15.75" thickBot="1"/>
    <row r="3" spans="2:22">
      <c r="B3" s="271" t="s">
        <v>129</v>
      </c>
      <c r="C3" s="272" t="s">
        <v>128</v>
      </c>
      <c r="D3" s="272"/>
      <c r="E3" s="272"/>
      <c r="F3" s="272"/>
      <c r="G3" s="273"/>
      <c r="H3" s="180"/>
      <c r="I3" s="271" t="s">
        <v>129</v>
      </c>
      <c r="J3" s="272" t="s">
        <v>128</v>
      </c>
      <c r="K3" s="272"/>
      <c r="L3" s="272"/>
      <c r="M3" s="272"/>
      <c r="N3" s="273"/>
      <c r="O3" s="180"/>
      <c r="P3" s="271" t="s">
        <v>129</v>
      </c>
      <c r="Q3" s="272" t="s">
        <v>128</v>
      </c>
      <c r="R3" s="272"/>
      <c r="S3" s="272"/>
      <c r="T3" s="272"/>
      <c r="U3" s="273"/>
      <c r="V3" s="180"/>
    </row>
    <row r="4" spans="2:22" ht="15.75" thickBot="1">
      <c r="B4" s="366" t="s">
        <v>127</v>
      </c>
      <c r="C4" s="179" t="s">
        <v>136</v>
      </c>
      <c r="G4" s="367"/>
      <c r="H4" s="180"/>
      <c r="I4" s="274" t="s">
        <v>127</v>
      </c>
      <c r="J4" s="275" t="s">
        <v>136</v>
      </c>
      <c r="K4" s="275"/>
      <c r="L4" s="275"/>
      <c r="M4" s="275"/>
      <c r="N4" s="276"/>
      <c r="O4" s="180"/>
      <c r="P4" s="274" t="s">
        <v>127</v>
      </c>
      <c r="Q4" s="275" t="s">
        <v>136</v>
      </c>
      <c r="R4" s="275"/>
      <c r="S4" s="275"/>
      <c r="T4" s="275"/>
      <c r="U4" s="276"/>
      <c r="V4" s="180"/>
    </row>
    <row r="5" spans="2:22" ht="15.75">
      <c r="B5" s="271" t="s">
        <v>125</v>
      </c>
      <c r="C5" s="368" t="s">
        <v>317</v>
      </c>
      <c r="D5" s="369"/>
      <c r="E5" s="272" t="s">
        <v>123</v>
      </c>
      <c r="F5" s="370">
        <v>45548</v>
      </c>
      <c r="G5" s="371" t="str">
        <f>IF(WEEKDAY(F5)=2,"Lunes",IF(WEEKDAY(F5)=3,"Martes",IF(WEEKDAY(F5)=4,"Miercoles",IF(WEEKDAY(F5)=5,"Jueves",IF(WEEKDAY(F5)=6,"Viernes",IF(WEEKDAY(F5)=7,"Sabado",FALSE))))))</f>
        <v>Viernes</v>
      </c>
      <c r="H5" s="180"/>
      <c r="I5" s="271" t="s">
        <v>125</v>
      </c>
      <c r="J5" s="368" t="s">
        <v>317</v>
      </c>
      <c r="K5" s="369"/>
      <c r="L5" s="272" t="s">
        <v>123</v>
      </c>
      <c r="M5" s="370">
        <v>45548</v>
      </c>
      <c r="N5" s="371" t="str">
        <f>IF(WEEKDAY(M5)=2,"Lunes",IF(WEEKDAY(M5)=3,"Martes",IF(WEEKDAY(M5)=4,"Miercoles",IF(WEEKDAY(M5)=5,"Jueves",IF(WEEKDAY(M5)=6,"Viernes",IF(WEEKDAY(M5)=7,"Sabado",FALSE))))))</f>
        <v>Viernes</v>
      </c>
      <c r="O5" s="180"/>
      <c r="P5" s="271" t="s">
        <v>125</v>
      </c>
      <c r="Q5" s="368" t="s">
        <v>317</v>
      </c>
      <c r="R5" s="369"/>
      <c r="S5" s="272" t="s">
        <v>123</v>
      </c>
      <c r="T5" s="370">
        <v>45548</v>
      </c>
      <c r="U5" s="371" t="str">
        <f>IF(WEEKDAY(T5)=2,"Lunes",IF(WEEKDAY(T5)=3,"Martes",IF(WEEKDAY(T5)=4,"Miercoles",IF(WEEKDAY(T5)=5,"Jueves",IF(WEEKDAY(T5)=6,"Viernes",IF(WEEKDAY(T5)=7,"Sabado",FALSE))))))</f>
        <v>Viernes</v>
      </c>
      <c r="V5" s="180"/>
    </row>
    <row r="6" spans="2:22" ht="15.75" thickBot="1">
      <c r="B6" s="282" t="s">
        <v>122</v>
      </c>
      <c r="C6" s="283">
        <v>0.36388888888888887</v>
      </c>
      <c r="D6" s="284" t="s">
        <v>120</v>
      </c>
      <c r="E6" s="285" t="s">
        <v>121</v>
      </c>
      <c r="F6" s="283">
        <v>0.44722222222222219</v>
      </c>
      <c r="G6" s="286" t="s">
        <v>120</v>
      </c>
      <c r="H6" s="180"/>
      <c r="I6" s="282" t="s">
        <v>122</v>
      </c>
      <c r="J6" s="283">
        <v>0.44722222222222219</v>
      </c>
      <c r="K6" s="284" t="s">
        <v>120</v>
      </c>
      <c r="L6" s="285" t="s">
        <v>121</v>
      </c>
      <c r="M6" s="283">
        <v>0.48888888888888887</v>
      </c>
      <c r="N6" s="286" t="s">
        <v>120</v>
      </c>
      <c r="O6" s="180"/>
      <c r="P6" s="282" t="s">
        <v>122</v>
      </c>
      <c r="Q6" s="283">
        <v>0.48888888888888887</v>
      </c>
      <c r="R6" s="284" t="s">
        <v>120</v>
      </c>
      <c r="S6" s="285" t="s">
        <v>121</v>
      </c>
      <c r="T6" s="283">
        <v>0.53055555555555556</v>
      </c>
      <c r="U6" s="286" t="s">
        <v>120</v>
      </c>
      <c r="V6" s="180"/>
    </row>
    <row r="7" spans="2:22" ht="15.75" thickBot="1">
      <c r="H7" s="180"/>
      <c r="O7" s="180"/>
    </row>
    <row r="8" spans="2:22">
      <c r="B8" s="507" t="s">
        <v>119</v>
      </c>
      <c r="C8" s="508"/>
      <c r="D8" s="526" t="s">
        <v>118</v>
      </c>
      <c r="E8" s="527"/>
      <c r="F8" s="527"/>
      <c r="G8" s="528"/>
      <c r="H8" s="180"/>
      <c r="I8" s="507" t="s">
        <v>119</v>
      </c>
      <c r="J8" s="508"/>
      <c r="K8" s="526" t="s">
        <v>118</v>
      </c>
      <c r="L8" s="527"/>
      <c r="M8" s="527"/>
      <c r="N8" s="528"/>
      <c r="O8" s="180"/>
      <c r="P8" s="507" t="s">
        <v>119</v>
      </c>
      <c r="Q8" s="508"/>
      <c r="R8" s="526" t="s">
        <v>118</v>
      </c>
      <c r="S8" s="527"/>
      <c r="T8" s="527"/>
      <c r="U8" s="528"/>
    </row>
    <row r="9" spans="2:22">
      <c r="B9" s="509"/>
      <c r="C9" s="510"/>
      <c r="D9" s="549" t="s">
        <v>135</v>
      </c>
      <c r="E9" s="536"/>
      <c r="F9" s="536" t="s">
        <v>134</v>
      </c>
      <c r="G9" s="537"/>
      <c r="H9" s="180"/>
      <c r="I9" s="509"/>
      <c r="J9" s="510"/>
      <c r="K9" s="549" t="s">
        <v>135</v>
      </c>
      <c r="L9" s="536"/>
      <c r="M9" s="536" t="s">
        <v>134</v>
      </c>
      <c r="N9" s="537"/>
      <c r="O9" s="180"/>
      <c r="P9" s="509"/>
      <c r="Q9" s="510"/>
      <c r="R9" s="549" t="s">
        <v>135</v>
      </c>
      <c r="S9" s="536"/>
      <c r="T9" s="536" t="s">
        <v>134</v>
      </c>
      <c r="U9" s="537"/>
    </row>
    <row r="10" spans="2:22" ht="15.75" thickBot="1">
      <c r="B10" s="511"/>
      <c r="C10" s="512"/>
      <c r="D10" s="523" t="s">
        <v>237</v>
      </c>
      <c r="E10" s="525"/>
      <c r="F10" s="523" t="s">
        <v>237</v>
      </c>
      <c r="G10" s="524"/>
      <c r="H10" s="180"/>
      <c r="I10" s="511"/>
      <c r="J10" s="512"/>
      <c r="K10" s="523" t="s">
        <v>237</v>
      </c>
      <c r="L10" s="525"/>
      <c r="M10" s="523" t="s">
        <v>237</v>
      </c>
      <c r="N10" s="524"/>
      <c r="O10" s="180"/>
      <c r="P10" s="511"/>
      <c r="Q10" s="512"/>
      <c r="R10" s="523" t="s">
        <v>237</v>
      </c>
      <c r="S10" s="525"/>
      <c r="T10" s="523" t="s">
        <v>237</v>
      </c>
      <c r="U10" s="524"/>
    </row>
    <row r="11" spans="2:22" ht="15.75" thickTop="1">
      <c r="B11" s="274" t="s">
        <v>115</v>
      </c>
      <c r="C11" s="287"/>
      <c r="D11" s="514">
        <v>18</v>
      </c>
      <c r="E11" s="515"/>
      <c r="F11" s="514">
        <v>8</v>
      </c>
      <c r="G11" s="520"/>
      <c r="H11" s="180"/>
      <c r="I11" s="274" t="s">
        <v>115</v>
      </c>
      <c r="J11" s="287"/>
      <c r="K11" s="514">
        <v>4</v>
      </c>
      <c r="L11" s="515"/>
      <c r="M11" s="514">
        <v>2</v>
      </c>
      <c r="N11" s="520"/>
      <c r="O11" s="180"/>
      <c r="P11" s="274" t="s">
        <v>115</v>
      </c>
      <c r="Q11" s="287"/>
      <c r="R11" s="514">
        <v>9</v>
      </c>
      <c r="S11" s="515"/>
      <c r="T11" s="514">
        <v>10</v>
      </c>
      <c r="U11" s="520"/>
    </row>
    <row r="12" spans="2:22">
      <c r="B12" s="288" t="s">
        <v>114</v>
      </c>
      <c r="C12" s="289"/>
      <c r="D12" s="516">
        <v>290</v>
      </c>
      <c r="E12" s="517"/>
      <c r="F12" s="516">
        <v>110</v>
      </c>
      <c r="G12" s="521"/>
      <c r="I12" s="288" t="s">
        <v>114</v>
      </c>
      <c r="J12" s="289"/>
      <c r="K12" s="516">
        <v>169</v>
      </c>
      <c r="L12" s="517"/>
      <c r="M12" s="516">
        <v>102</v>
      </c>
      <c r="N12" s="521"/>
      <c r="O12" s="180"/>
      <c r="P12" s="288" t="s">
        <v>114</v>
      </c>
      <c r="Q12" s="289"/>
      <c r="R12" s="516">
        <v>124</v>
      </c>
      <c r="S12" s="517"/>
      <c r="T12" s="516">
        <v>107</v>
      </c>
      <c r="U12" s="521"/>
    </row>
    <row r="13" spans="2:22">
      <c r="B13" s="288" t="s">
        <v>113</v>
      </c>
      <c r="C13" s="289"/>
      <c r="D13" s="516">
        <v>3</v>
      </c>
      <c r="E13" s="517"/>
      <c r="F13" s="516">
        <v>4</v>
      </c>
      <c r="G13" s="521"/>
      <c r="H13" s="180"/>
      <c r="I13" s="288" t="s">
        <v>113</v>
      </c>
      <c r="J13" s="289"/>
      <c r="K13" s="516">
        <v>3</v>
      </c>
      <c r="L13" s="517"/>
      <c r="M13" s="516">
        <v>1</v>
      </c>
      <c r="N13" s="521"/>
      <c r="O13" s="180"/>
      <c r="P13" s="288" t="s">
        <v>113</v>
      </c>
      <c r="Q13" s="289"/>
      <c r="R13" s="516">
        <v>2</v>
      </c>
      <c r="S13" s="517"/>
      <c r="T13" s="516">
        <v>1</v>
      </c>
      <c r="U13" s="521"/>
    </row>
    <row r="14" spans="2:22">
      <c r="B14" s="288" t="s">
        <v>112</v>
      </c>
      <c r="C14" s="289"/>
      <c r="D14" s="516">
        <v>17</v>
      </c>
      <c r="E14" s="517"/>
      <c r="F14" s="516">
        <v>16</v>
      </c>
      <c r="G14" s="521"/>
      <c r="H14" s="180"/>
      <c r="I14" s="288" t="s">
        <v>112</v>
      </c>
      <c r="J14" s="289"/>
      <c r="K14" s="516">
        <v>14</v>
      </c>
      <c r="L14" s="517"/>
      <c r="M14" s="516">
        <v>15</v>
      </c>
      <c r="N14" s="521"/>
      <c r="O14" s="180"/>
      <c r="P14" s="288" t="s">
        <v>112</v>
      </c>
      <c r="Q14" s="289"/>
      <c r="R14" s="516">
        <v>6</v>
      </c>
      <c r="S14" s="517"/>
      <c r="T14" s="516">
        <v>17</v>
      </c>
      <c r="U14" s="521"/>
    </row>
    <row r="15" spans="2:22">
      <c r="B15" s="288" t="s">
        <v>111</v>
      </c>
      <c r="C15" s="289"/>
      <c r="D15" s="516">
        <v>30</v>
      </c>
      <c r="E15" s="517"/>
      <c r="F15" s="516">
        <v>11</v>
      </c>
      <c r="G15" s="521"/>
      <c r="H15" s="180"/>
      <c r="I15" s="288" t="s">
        <v>111</v>
      </c>
      <c r="J15" s="289"/>
      <c r="K15" s="516">
        <v>13</v>
      </c>
      <c r="L15" s="517"/>
      <c r="M15" s="516">
        <v>34</v>
      </c>
      <c r="N15" s="521"/>
      <c r="O15" s="180"/>
      <c r="P15" s="288" t="s">
        <v>111</v>
      </c>
      <c r="Q15" s="289"/>
      <c r="R15" s="516">
        <v>22</v>
      </c>
      <c r="S15" s="517"/>
      <c r="T15" s="516">
        <v>14</v>
      </c>
      <c r="U15" s="521"/>
    </row>
    <row r="16" spans="2:22">
      <c r="B16" s="288" t="s">
        <v>110</v>
      </c>
      <c r="C16" s="289"/>
      <c r="D16" s="516">
        <v>54</v>
      </c>
      <c r="E16" s="517"/>
      <c r="F16" s="516">
        <v>40</v>
      </c>
      <c r="G16" s="521"/>
      <c r="H16" s="180"/>
      <c r="I16" s="288" t="s">
        <v>110</v>
      </c>
      <c r="J16" s="289"/>
      <c r="K16" s="516">
        <v>32</v>
      </c>
      <c r="L16" s="517"/>
      <c r="M16" s="516">
        <v>20</v>
      </c>
      <c r="N16" s="521"/>
      <c r="O16" s="180"/>
      <c r="P16" s="288" t="s">
        <v>110</v>
      </c>
      <c r="Q16" s="289"/>
      <c r="R16" s="516">
        <v>22</v>
      </c>
      <c r="S16" s="517"/>
      <c r="T16" s="516">
        <v>16</v>
      </c>
      <c r="U16" s="521"/>
    </row>
    <row r="17" spans="1:22" ht="15.75" thickBot="1">
      <c r="B17" s="290" t="s">
        <v>109</v>
      </c>
      <c r="C17" s="291"/>
      <c r="D17" s="518">
        <v>3</v>
      </c>
      <c r="E17" s="519"/>
      <c r="F17" s="518">
        <v>0</v>
      </c>
      <c r="G17" s="522"/>
      <c r="H17" s="180"/>
      <c r="I17" s="290" t="s">
        <v>109</v>
      </c>
      <c r="J17" s="291"/>
      <c r="K17" s="518">
        <v>3</v>
      </c>
      <c r="L17" s="519"/>
      <c r="M17" s="518">
        <v>0</v>
      </c>
      <c r="N17" s="522"/>
      <c r="O17" s="180"/>
      <c r="P17" s="290" t="s">
        <v>109</v>
      </c>
      <c r="Q17" s="291"/>
      <c r="R17" s="518">
        <v>0</v>
      </c>
      <c r="S17" s="519"/>
      <c r="T17" s="518">
        <v>2</v>
      </c>
      <c r="U17" s="522"/>
    </row>
    <row r="18" spans="1:22" ht="15.75" thickBot="1">
      <c r="A18"/>
      <c r="H18"/>
      <c r="O18"/>
    </row>
    <row r="19" spans="1:22" ht="15.75" thickBot="1">
      <c r="D19" s="292" t="s">
        <v>46</v>
      </c>
      <c r="E19" s="293">
        <f>+SUM(D11:E17,F11:G17)</f>
        <v>604</v>
      </c>
      <c r="F19" s="294" t="s">
        <v>234</v>
      </c>
      <c r="H19" s="180"/>
      <c r="K19" s="292" t="s">
        <v>46</v>
      </c>
      <c r="L19" s="293">
        <f>+SUM(K11:L17,M11:N17)</f>
        <v>412</v>
      </c>
      <c r="M19" s="294" t="s">
        <v>234</v>
      </c>
      <c r="O19" s="180"/>
      <c r="R19" s="292" t="s">
        <v>46</v>
      </c>
      <c r="S19" s="293">
        <f>+SUM(R11:S17,T11:U17)</f>
        <v>352</v>
      </c>
      <c r="T19" s="294" t="s">
        <v>234</v>
      </c>
    </row>
    <row r="20" spans="1:22" ht="15.75" thickBot="1">
      <c r="D20" s="529" t="s">
        <v>233</v>
      </c>
      <c r="E20" s="530"/>
      <c r="F20" s="295">
        <f>+SUM(D13:E16,F13:G16)/E19</f>
        <v>0.28973509933774833</v>
      </c>
      <c r="H20" s="180"/>
      <c r="K20" s="529" t="s">
        <v>233</v>
      </c>
      <c r="L20" s="530"/>
      <c r="M20" s="295">
        <f>+SUM(K13:L16,M13:N16)/L19</f>
        <v>0.32038834951456313</v>
      </c>
      <c r="O20" s="180"/>
      <c r="R20" s="529" t="s">
        <v>233</v>
      </c>
      <c r="S20" s="530"/>
      <c r="T20" s="295">
        <f>+SUM(R13:S16,T13:U16)/S19</f>
        <v>0.28409090909090912</v>
      </c>
    </row>
    <row r="21" spans="1:22" s="41" customFormat="1" ht="15.75" thickBot="1">
      <c r="A21" s="213"/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</row>
    <row r="22" spans="1:22">
      <c r="B22" s="271" t="s">
        <v>129</v>
      </c>
      <c r="C22" s="272" t="s">
        <v>128</v>
      </c>
      <c r="D22" s="272"/>
      <c r="E22" s="272"/>
      <c r="F22" s="272"/>
      <c r="G22" s="273"/>
      <c r="H22" s="180"/>
      <c r="I22" s="271" t="s">
        <v>129</v>
      </c>
      <c r="J22" s="272" t="s">
        <v>128</v>
      </c>
      <c r="K22" s="272"/>
      <c r="L22" s="272"/>
      <c r="M22" s="272"/>
      <c r="N22" s="273"/>
      <c r="O22" s="180"/>
      <c r="P22" s="271" t="s">
        <v>129</v>
      </c>
      <c r="Q22" s="272" t="s">
        <v>128</v>
      </c>
      <c r="R22" s="272"/>
      <c r="S22" s="272"/>
      <c r="T22" s="272"/>
      <c r="U22" s="273"/>
      <c r="V22" s="180"/>
    </row>
    <row r="23" spans="1:22" ht="15.75" thickBot="1">
      <c r="B23" s="366" t="s">
        <v>127</v>
      </c>
      <c r="G23" s="367"/>
      <c r="H23" s="180"/>
      <c r="I23" s="366" t="s">
        <v>127</v>
      </c>
      <c r="N23" s="367"/>
      <c r="O23" s="180"/>
      <c r="P23" s="366" t="s">
        <v>127</v>
      </c>
      <c r="U23" s="367"/>
      <c r="V23" s="180"/>
    </row>
    <row r="24" spans="1:22" ht="15.75">
      <c r="B24" s="271" t="s">
        <v>125</v>
      </c>
      <c r="C24" s="368" t="s">
        <v>317</v>
      </c>
      <c r="D24" s="369"/>
      <c r="E24" s="272" t="s">
        <v>123</v>
      </c>
      <c r="F24" s="370">
        <v>45549</v>
      </c>
      <c r="G24" s="371" t="str">
        <f>IF(WEEKDAY(F24)=2,"Lunes",IF(WEEKDAY(F24)=3,"Martes",IF(WEEKDAY(F24)=4,"Miercoles",IF(WEEKDAY(F24)=5,"Jueves",IF(WEEKDAY(F24)=6,"Viernes",IF(WEEKDAY(F24)=7,"Sábado",FALSE))))))</f>
        <v>Sábado</v>
      </c>
      <c r="H24" s="180"/>
      <c r="I24" s="271" t="s">
        <v>125</v>
      </c>
      <c r="J24" s="368" t="s">
        <v>317</v>
      </c>
      <c r="K24" s="369"/>
      <c r="L24" s="272" t="s">
        <v>123</v>
      </c>
      <c r="M24" s="370">
        <f>+F24</f>
        <v>45549</v>
      </c>
      <c r="N24" s="371" t="str">
        <f>IF(WEEKDAY(M24)=2,"Lunes",IF(WEEKDAY(M24)=3,"Martes",IF(WEEKDAY(M24)=4,"Miercoles",IF(WEEKDAY(M24)=5,"Jueves",IF(WEEKDAY(M24)=6,"Viernes",IF(WEEKDAY(M24)=7,"Sábado",FALSE))))))</f>
        <v>Sábado</v>
      </c>
      <c r="O24" s="180"/>
      <c r="P24" s="271" t="s">
        <v>125</v>
      </c>
      <c r="Q24" s="368" t="s">
        <v>317</v>
      </c>
      <c r="R24" s="369"/>
      <c r="S24" s="272" t="s">
        <v>123</v>
      </c>
      <c r="T24" s="370">
        <f>+M24</f>
        <v>45549</v>
      </c>
      <c r="U24" s="371" t="str">
        <f>IF(WEEKDAY(T24)=2,"Lunes",IF(WEEKDAY(T24)=3,"Martes",IF(WEEKDAY(T24)=4,"Miercoles",IF(WEEKDAY(T24)=5,"Jueves",IF(WEEKDAY(T24)=6,"Viernes",IF(WEEKDAY(T24)=7,"Sábado",FALSE))))))</f>
        <v>Sábado</v>
      </c>
      <c r="V24" s="180"/>
    </row>
    <row r="25" spans="1:22" ht="15.75" thickBot="1">
      <c r="B25" s="282" t="s">
        <v>122</v>
      </c>
      <c r="C25" s="283">
        <v>0.36388888888888887</v>
      </c>
      <c r="D25" s="284" t="s">
        <v>120</v>
      </c>
      <c r="E25" s="285" t="s">
        <v>121</v>
      </c>
      <c r="F25" s="283">
        <v>0.44722222222222219</v>
      </c>
      <c r="G25" s="286" t="s">
        <v>120</v>
      </c>
      <c r="H25" s="180"/>
      <c r="I25" s="282" t="s">
        <v>122</v>
      </c>
      <c r="J25" s="283">
        <v>0.44791666666666669</v>
      </c>
      <c r="K25" s="284" t="s">
        <v>120</v>
      </c>
      <c r="L25" s="285" t="s">
        <v>121</v>
      </c>
      <c r="M25" s="283">
        <v>0.48958333333333331</v>
      </c>
      <c r="N25" s="286" t="s">
        <v>120</v>
      </c>
      <c r="O25" s="180"/>
      <c r="P25" s="282" t="s">
        <v>122</v>
      </c>
      <c r="Q25" s="283">
        <f>+M25</f>
        <v>0.48958333333333331</v>
      </c>
      <c r="R25" s="284" t="s">
        <v>120</v>
      </c>
      <c r="S25" s="285" t="s">
        <v>121</v>
      </c>
      <c r="T25" s="283">
        <v>0.53125</v>
      </c>
      <c r="U25" s="286" t="s">
        <v>120</v>
      </c>
      <c r="V25" s="180"/>
    </row>
    <row r="26" spans="1:22" ht="15.75" thickBot="1">
      <c r="H26" s="180"/>
      <c r="O26" s="180"/>
    </row>
    <row r="27" spans="1:22">
      <c r="B27" s="507" t="s">
        <v>119</v>
      </c>
      <c r="C27" s="508"/>
      <c r="D27" s="526" t="s">
        <v>118</v>
      </c>
      <c r="E27" s="527"/>
      <c r="F27" s="527"/>
      <c r="G27" s="528"/>
      <c r="H27" s="180"/>
      <c r="I27" s="507" t="s">
        <v>119</v>
      </c>
      <c r="J27" s="508"/>
      <c r="K27" s="526" t="s">
        <v>118</v>
      </c>
      <c r="L27" s="527"/>
      <c r="M27" s="527"/>
      <c r="N27" s="528"/>
      <c r="O27" s="180"/>
      <c r="P27" s="507" t="s">
        <v>119</v>
      </c>
      <c r="Q27" s="508"/>
      <c r="R27" s="526" t="s">
        <v>118</v>
      </c>
      <c r="S27" s="527"/>
      <c r="T27" s="527"/>
      <c r="U27" s="528"/>
    </row>
    <row r="28" spans="1:22">
      <c r="B28" s="509"/>
      <c r="C28" s="510"/>
      <c r="D28" s="549" t="s">
        <v>135</v>
      </c>
      <c r="E28" s="536"/>
      <c r="F28" s="536" t="s">
        <v>134</v>
      </c>
      <c r="G28" s="537"/>
      <c r="H28" s="180"/>
      <c r="I28" s="509"/>
      <c r="J28" s="510"/>
      <c r="K28" s="549" t="s">
        <v>135</v>
      </c>
      <c r="L28" s="536"/>
      <c r="M28" s="536" t="s">
        <v>134</v>
      </c>
      <c r="N28" s="537"/>
      <c r="O28" s="180"/>
      <c r="P28" s="509"/>
      <c r="Q28" s="510"/>
      <c r="R28" s="549" t="s">
        <v>135</v>
      </c>
      <c r="S28" s="536"/>
      <c r="T28" s="536" t="s">
        <v>134</v>
      </c>
      <c r="U28" s="537"/>
    </row>
    <row r="29" spans="1:22" ht="15.75" thickBot="1">
      <c r="B29" s="511"/>
      <c r="C29" s="512"/>
      <c r="D29" s="523" t="s">
        <v>237</v>
      </c>
      <c r="E29" s="525"/>
      <c r="F29" s="523" t="s">
        <v>237</v>
      </c>
      <c r="G29" s="524"/>
      <c r="H29" s="180"/>
      <c r="I29" s="511"/>
      <c r="J29" s="512"/>
      <c r="K29" s="523" t="s">
        <v>237</v>
      </c>
      <c r="L29" s="525"/>
      <c r="M29" s="523" t="s">
        <v>237</v>
      </c>
      <c r="N29" s="524"/>
      <c r="O29" s="180"/>
      <c r="P29" s="511"/>
      <c r="Q29" s="512"/>
      <c r="R29" s="523" t="s">
        <v>237</v>
      </c>
      <c r="S29" s="525"/>
      <c r="T29" s="523" t="s">
        <v>237</v>
      </c>
      <c r="U29" s="524"/>
    </row>
    <row r="30" spans="1:22" ht="15.75" thickTop="1">
      <c r="B30" s="274" t="s">
        <v>115</v>
      </c>
      <c r="C30" s="287"/>
      <c r="D30" s="514">
        <v>18</v>
      </c>
      <c r="E30" s="515"/>
      <c r="F30" s="514">
        <v>12</v>
      </c>
      <c r="G30" s="520"/>
      <c r="H30" s="180"/>
      <c r="I30" s="274" t="s">
        <v>115</v>
      </c>
      <c r="J30" s="287"/>
      <c r="K30" s="514">
        <v>3</v>
      </c>
      <c r="L30" s="515"/>
      <c r="M30" s="514">
        <v>4</v>
      </c>
      <c r="N30" s="520"/>
      <c r="O30" s="180"/>
      <c r="P30" s="274" t="s">
        <v>115</v>
      </c>
      <c r="Q30" s="287"/>
      <c r="R30" s="514">
        <v>8</v>
      </c>
      <c r="S30" s="515"/>
      <c r="T30" s="514">
        <v>12</v>
      </c>
      <c r="U30" s="520"/>
    </row>
    <row r="31" spans="1:22">
      <c r="B31" s="288" t="s">
        <v>114</v>
      </c>
      <c r="C31" s="289"/>
      <c r="D31" s="516">
        <v>330</v>
      </c>
      <c r="E31" s="517"/>
      <c r="F31" s="516">
        <v>133</v>
      </c>
      <c r="G31" s="521"/>
      <c r="I31" s="288" t="s">
        <v>114</v>
      </c>
      <c r="J31" s="289"/>
      <c r="K31" s="516">
        <v>158</v>
      </c>
      <c r="L31" s="517"/>
      <c r="M31" s="516">
        <v>104</v>
      </c>
      <c r="N31" s="521"/>
      <c r="O31" s="180"/>
      <c r="P31" s="288" t="s">
        <v>114</v>
      </c>
      <c r="Q31" s="289"/>
      <c r="R31" s="516">
        <v>121</v>
      </c>
      <c r="S31" s="517"/>
      <c r="T31" s="516">
        <v>111</v>
      </c>
      <c r="U31" s="521"/>
    </row>
    <row r="32" spans="1:22">
      <c r="B32" s="288" t="s">
        <v>113</v>
      </c>
      <c r="C32" s="289"/>
      <c r="D32" s="516">
        <v>5</v>
      </c>
      <c r="E32" s="517"/>
      <c r="F32" s="516">
        <v>3</v>
      </c>
      <c r="G32" s="521"/>
      <c r="H32" s="180"/>
      <c r="I32" s="288" t="s">
        <v>113</v>
      </c>
      <c r="J32" s="289"/>
      <c r="K32" s="516">
        <v>2</v>
      </c>
      <c r="L32" s="517"/>
      <c r="M32" s="516">
        <v>1</v>
      </c>
      <c r="N32" s="521"/>
      <c r="O32" s="180"/>
      <c r="P32" s="288" t="s">
        <v>113</v>
      </c>
      <c r="Q32" s="289"/>
      <c r="R32" s="516">
        <v>2</v>
      </c>
      <c r="S32" s="517"/>
      <c r="T32" s="516">
        <v>1</v>
      </c>
      <c r="U32" s="521"/>
    </row>
    <row r="33" spans="1:21">
      <c r="B33" s="288" t="s">
        <v>112</v>
      </c>
      <c r="C33" s="289"/>
      <c r="D33" s="516">
        <v>15</v>
      </c>
      <c r="E33" s="517"/>
      <c r="F33" s="516">
        <v>13</v>
      </c>
      <c r="G33" s="521"/>
      <c r="H33" s="180"/>
      <c r="I33" s="288" t="s">
        <v>112</v>
      </c>
      <c r="J33" s="289"/>
      <c r="K33" s="516">
        <v>9</v>
      </c>
      <c r="L33" s="517"/>
      <c r="M33" s="516">
        <v>12</v>
      </c>
      <c r="N33" s="521"/>
      <c r="O33" s="180"/>
      <c r="P33" s="288" t="s">
        <v>112</v>
      </c>
      <c r="Q33" s="289"/>
      <c r="R33" s="516">
        <v>5</v>
      </c>
      <c r="S33" s="517"/>
      <c r="T33" s="516">
        <v>11</v>
      </c>
      <c r="U33" s="521"/>
    </row>
    <row r="34" spans="1:21">
      <c r="B34" s="288" t="s">
        <v>111</v>
      </c>
      <c r="C34" s="289"/>
      <c r="D34" s="516">
        <v>30</v>
      </c>
      <c r="E34" s="517"/>
      <c r="F34" s="516">
        <v>11</v>
      </c>
      <c r="G34" s="521"/>
      <c r="H34" s="180"/>
      <c r="I34" s="288" t="s">
        <v>111</v>
      </c>
      <c r="J34" s="289"/>
      <c r="K34" s="516">
        <v>12</v>
      </c>
      <c r="L34" s="517"/>
      <c r="M34" s="516">
        <v>25</v>
      </c>
      <c r="N34" s="521"/>
      <c r="O34" s="180"/>
      <c r="P34" s="288" t="s">
        <v>111</v>
      </c>
      <c r="Q34" s="289"/>
      <c r="R34" s="516">
        <v>16</v>
      </c>
      <c r="S34" s="517"/>
      <c r="T34" s="516">
        <v>10</v>
      </c>
      <c r="U34" s="521"/>
    </row>
    <row r="35" spans="1:21">
      <c r="B35" s="288" t="s">
        <v>110</v>
      </c>
      <c r="C35" s="289"/>
      <c r="D35" s="516">
        <v>44</v>
      </c>
      <c r="E35" s="517"/>
      <c r="F35" s="516">
        <v>32</v>
      </c>
      <c r="G35" s="521"/>
      <c r="H35" s="180"/>
      <c r="I35" s="288" t="s">
        <v>110</v>
      </c>
      <c r="J35" s="289"/>
      <c r="K35" s="516">
        <v>20</v>
      </c>
      <c r="L35" s="517"/>
      <c r="M35" s="516">
        <v>15</v>
      </c>
      <c r="N35" s="521"/>
      <c r="O35" s="180"/>
      <c r="P35" s="288" t="s">
        <v>110</v>
      </c>
      <c r="Q35" s="289"/>
      <c r="R35" s="516">
        <v>18</v>
      </c>
      <c r="S35" s="517"/>
      <c r="T35" s="516">
        <v>14</v>
      </c>
      <c r="U35" s="521"/>
    </row>
    <row r="36" spans="1:21" ht="15.75" thickBot="1">
      <c r="B36" s="290" t="s">
        <v>109</v>
      </c>
      <c r="C36" s="291"/>
      <c r="D36" s="518">
        <v>2</v>
      </c>
      <c r="E36" s="519"/>
      <c r="F36" s="518">
        <v>2</v>
      </c>
      <c r="G36" s="522"/>
      <c r="H36" s="180"/>
      <c r="I36" s="290" t="s">
        <v>109</v>
      </c>
      <c r="J36" s="291"/>
      <c r="K36" s="518">
        <v>1</v>
      </c>
      <c r="L36" s="519"/>
      <c r="M36" s="518">
        <v>1</v>
      </c>
      <c r="N36" s="522"/>
      <c r="O36" s="180"/>
      <c r="P36" s="290" t="s">
        <v>109</v>
      </c>
      <c r="Q36" s="291"/>
      <c r="R36" s="518">
        <v>1</v>
      </c>
      <c r="S36" s="519"/>
      <c r="T36" s="518">
        <v>2</v>
      </c>
      <c r="U36" s="522"/>
    </row>
    <row r="37" spans="1:21" ht="15.75" thickBot="1">
      <c r="A37"/>
      <c r="H37"/>
      <c r="O37"/>
    </row>
    <row r="38" spans="1:21" ht="15.75" thickBot="1">
      <c r="D38" s="292" t="s">
        <v>46</v>
      </c>
      <c r="E38" s="296">
        <f>+'Cálculo TMDA'!E25</f>
        <v>649.96900498706214</v>
      </c>
      <c r="F38" s="294" t="s">
        <v>234</v>
      </c>
      <c r="H38" s="180"/>
      <c r="K38" s="292" t="s">
        <v>46</v>
      </c>
      <c r="L38" s="296">
        <f>+'Cálculo TMDA'!E26</f>
        <v>367.36943144519483</v>
      </c>
      <c r="M38" s="294" t="s">
        <v>234</v>
      </c>
      <c r="O38" s="180"/>
      <c r="R38" s="292" t="s">
        <v>46</v>
      </c>
      <c r="S38" s="296">
        <f>+'Cálculo TMDA'!E27</f>
        <v>331.76909537356704</v>
      </c>
      <c r="T38" s="294" t="s">
        <v>234</v>
      </c>
    </row>
    <row r="39" spans="1:21" ht="15.75" thickBot="1">
      <c r="D39" s="529" t="s">
        <v>233</v>
      </c>
      <c r="E39" s="530"/>
      <c r="F39" s="295">
        <v>0.23539599999999999</v>
      </c>
      <c r="G39" s="372"/>
      <c r="H39" s="330"/>
      <c r="I39" s="334"/>
      <c r="K39" s="529" t="s">
        <v>233</v>
      </c>
      <c r="L39" s="530"/>
      <c r="M39" s="297">
        <v>0.26132</v>
      </c>
      <c r="N39" s="372"/>
      <c r="O39" s="265"/>
      <c r="P39" s="334"/>
      <c r="R39" s="529" t="s">
        <v>233</v>
      </c>
      <c r="S39" s="530"/>
      <c r="T39" s="297">
        <v>0.23208999999999999</v>
      </c>
      <c r="U39" s="372"/>
    </row>
    <row r="40" spans="1:21">
      <c r="B40" s="5"/>
      <c r="C40" s="5"/>
      <c r="D40" s="267"/>
      <c r="E40" s="267"/>
      <c r="F40" s="333"/>
      <c r="G40" s="333"/>
      <c r="H40" s="265"/>
      <c r="I40" s="266"/>
      <c r="J40" s="5"/>
      <c r="K40" s="267"/>
      <c r="L40" s="267"/>
      <c r="M40" s="333"/>
      <c r="N40" s="333"/>
      <c r="O40" s="265"/>
      <c r="P40" s="266"/>
      <c r="Q40" s="5"/>
      <c r="R40" s="267"/>
      <c r="S40" s="267"/>
      <c r="T40" s="333"/>
      <c r="U40" s="333"/>
    </row>
    <row r="41" spans="1:21">
      <c r="F41" s="180"/>
      <c r="H41" s="180"/>
      <c r="I41" s="180"/>
      <c r="J41" s="180"/>
      <c r="K41" s="180"/>
      <c r="L41" s="180"/>
      <c r="M41" s="180"/>
      <c r="O41" s="265"/>
      <c r="P41" s="180"/>
      <c r="Q41" s="180"/>
      <c r="R41" s="180"/>
      <c r="S41" s="180"/>
      <c r="T41" s="180"/>
    </row>
    <row r="42" spans="1:21" s="41" customFormat="1" ht="22.5" customHeight="1" thickBot="1">
      <c r="A42" s="213"/>
      <c r="B42" s="502" t="s">
        <v>240</v>
      </c>
      <c r="C42" s="502"/>
      <c r="D42" s="502"/>
      <c r="E42" s="502"/>
      <c r="F42" s="211"/>
      <c r="G42" s="506" t="s">
        <v>207</v>
      </c>
      <c r="H42" s="502"/>
      <c r="I42" s="502"/>
      <c r="J42" s="502"/>
      <c r="K42" s="502"/>
      <c r="L42" s="502"/>
      <c r="M42" s="540"/>
      <c r="N42" s="211"/>
      <c r="O42" s="316"/>
      <c r="P42" s="211"/>
      <c r="Q42" s="211"/>
      <c r="R42" s="211"/>
      <c r="S42" s="211"/>
      <c r="U42" s="211"/>
    </row>
    <row r="43" spans="1:21" ht="16.5" customHeight="1" thickTop="1" thickBot="1">
      <c r="B43" s="541" t="s">
        <v>119</v>
      </c>
      <c r="C43" s="542"/>
      <c r="D43" s="545" t="s">
        <v>244</v>
      </c>
      <c r="E43" s="547" t="s">
        <v>187</v>
      </c>
      <c r="F43" s="180"/>
      <c r="G43" s="5"/>
      <c r="H43" s="5"/>
      <c r="I43" s="5"/>
      <c r="J43" s="186"/>
      <c r="K43" s="180"/>
      <c r="L43" s="5"/>
      <c r="M43" s="183"/>
      <c r="N43" s="180"/>
      <c r="O43" s="180"/>
      <c r="P43" s="5"/>
      <c r="Q43" s="186"/>
      <c r="R43" s="180"/>
      <c r="S43" s="5"/>
      <c r="T43" s="183"/>
      <c r="U43" s="180"/>
    </row>
    <row r="44" spans="1:21">
      <c r="B44" s="543"/>
      <c r="C44" s="544"/>
      <c r="D44" s="546"/>
      <c r="E44" s="548"/>
      <c r="F44" s="180"/>
      <c r="G44" s="256" t="s">
        <v>129</v>
      </c>
      <c r="H44" s="256" t="s">
        <v>128</v>
      </c>
      <c r="I44" s="186"/>
      <c r="J44" s="311" t="s">
        <v>123</v>
      </c>
      <c r="K44" s="307">
        <v>45548</v>
      </c>
      <c r="L44" s="311" t="s">
        <v>123</v>
      </c>
      <c r="M44" s="307">
        <v>45549</v>
      </c>
      <c r="N44" s="180"/>
      <c r="O44" s="180"/>
      <c r="P44" s="186"/>
      <c r="Q44" s="397"/>
      <c r="R44" s="398"/>
      <c r="S44" s="397"/>
      <c r="T44" s="398"/>
      <c r="U44" s="180"/>
    </row>
    <row r="45" spans="1:21">
      <c r="B45" s="218" t="s">
        <v>113</v>
      </c>
      <c r="C45" s="217"/>
      <c r="D45" s="209">
        <f>SUM(D13:G13,K13:N13,R13:U13)</f>
        <v>14</v>
      </c>
      <c r="E45" s="219">
        <f>+D45/$D$49</f>
        <v>3.4398034398034398E-2</v>
      </c>
      <c r="F45" s="180"/>
      <c r="G45" s="305" t="s">
        <v>125</v>
      </c>
      <c r="H45" s="189" t="str">
        <f>+C5</f>
        <v>3 (RN12 Este)</v>
      </c>
      <c r="I45" s="186"/>
      <c r="J45" s="308" t="s">
        <v>205</v>
      </c>
      <c r="K45" s="309" t="s">
        <v>206</v>
      </c>
      <c r="L45" s="308" t="s">
        <v>205</v>
      </c>
      <c r="M45" s="309" t="s">
        <v>206</v>
      </c>
      <c r="N45" s="180"/>
      <c r="O45" s="180"/>
      <c r="P45" s="186"/>
      <c r="Q45" s="397"/>
      <c r="R45" s="214"/>
      <c r="S45" s="397"/>
      <c r="T45" s="214"/>
      <c r="U45" s="180"/>
    </row>
    <row r="46" spans="1:21" ht="15.75" thickBot="1">
      <c r="B46" s="218" t="s">
        <v>112</v>
      </c>
      <c r="C46" s="217"/>
      <c r="D46" s="209">
        <f>SUM(D14:G14,K14:N14,R14:U14)</f>
        <v>85</v>
      </c>
      <c r="E46" s="219">
        <f>+D46/$D$49</f>
        <v>0.20884520884520885</v>
      </c>
      <c r="F46" s="180"/>
      <c r="G46" s="1"/>
      <c r="H46" s="1"/>
      <c r="I46" s="1"/>
      <c r="J46" s="498" t="str">
        <f>IF(WEEKDAY(K44)=2,"Lunes",IF(WEEKDAY(K44)=3,"Martes",IF(WEEKDAY(K44)=4,"Miercoles",IF(WEEKDAY(K44)=5,"Jueves",IF(WEEKDAY(K44)=6,"Viernes",IF(WEEKDAY(K44)=7,"Sabado",FALSE))))))</f>
        <v>Viernes</v>
      </c>
      <c r="K46" s="499"/>
      <c r="L46" s="498" t="str">
        <f>IF(WEEKDAY(M44)=2,"Lunes",IF(WEEKDAY(M44)=3,"Martes",IF(WEEKDAY(M44)=4,"Miércoles",IF(WEEKDAY(M44)=5,"Jueves",IF(WEEKDAY(M44)=6,"Viernes",IF(WEEKDAY(M44)=7,"Sábado",FALSE))))))</f>
        <v>Sábado</v>
      </c>
      <c r="M46" s="499"/>
      <c r="N46" s="180"/>
      <c r="O46" s="180"/>
      <c r="P46" s="1"/>
      <c r="Q46" s="182"/>
      <c r="R46" s="182"/>
      <c r="S46" s="182"/>
      <c r="T46" s="182"/>
      <c r="U46" s="180"/>
    </row>
    <row r="47" spans="1:21" ht="30.75" thickTop="1">
      <c r="B47" s="218" t="s">
        <v>111</v>
      </c>
      <c r="C47" s="217"/>
      <c r="D47" s="209">
        <f>SUM(D15:G15,K15:N15,R15:U15)</f>
        <v>124</v>
      </c>
      <c r="E47" s="219">
        <f>+D47/$D$49</f>
        <v>0.30466830466830469</v>
      </c>
      <c r="F47" s="180"/>
      <c r="G47" s="504" t="s">
        <v>119</v>
      </c>
      <c r="H47" s="504"/>
      <c r="I47" s="505"/>
      <c r="J47" s="312" t="s">
        <v>239</v>
      </c>
      <c r="K47" s="313" t="s">
        <v>238</v>
      </c>
      <c r="L47" s="312" t="s">
        <v>239</v>
      </c>
      <c r="M47" s="313" t="s">
        <v>238</v>
      </c>
      <c r="N47" s="180"/>
      <c r="O47" s="180"/>
      <c r="P47" s="180"/>
      <c r="Q47" s="263"/>
      <c r="R47" s="263"/>
      <c r="S47" s="263"/>
      <c r="T47" s="263"/>
      <c r="U47" s="180"/>
    </row>
    <row r="48" spans="1:21" ht="15.75" thickBot="1">
      <c r="B48" s="317" t="s">
        <v>110</v>
      </c>
      <c r="C48" s="269"/>
      <c r="D48" s="185">
        <f>SUM(D16:G16,K16:N16,R16:U16)</f>
        <v>184</v>
      </c>
      <c r="E48" s="318">
        <f>+D48/$D$49</f>
        <v>0.45208845208845211</v>
      </c>
      <c r="F48" s="180"/>
      <c r="G48" s="496" t="str">
        <f>+P11</f>
        <v>Motos</v>
      </c>
      <c r="H48" s="496"/>
      <c r="I48" s="497"/>
      <c r="J48" s="310">
        <f t="shared" ref="J48:J54" si="0">SUM(D11:G11,K11:N11,R11:U11)</f>
        <v>51</v>
      </c>
      <c r="K48" s="314">
        <f t="shared" ref="K48:K54" si="1">+J48/$J$56</f>
        <v>3.7280701754385963E-2</v>
      </c>
      <c r="L48" s="310">
        <f t="shared" ref="L48:L54" si="2">SUM(D30:G30,K30:N30,R30:U30)</f>
        <v>57</v>
      </c>
      <c r="M48" s="314">
        <f t="shared" ref="M48:M54" si="3">+L48/$L$56</f>
        <v>4.2253521126760563E-2</v>
      </c>
      <c r="N48" s="180"/>
      <c r="O48" s="180"/>
      <c r="P48" s="180"/>
      <c r="Q48" s="214"/>
      <c r="R48" s="399"/>
      <c r="S48" s="214"/>
      <c r="T48" s="399"/>
      <c r="U48" s="180"/>
    </row>
    <row r="49" spans="2:23" ht="36" customHeight="1" thickBot="1">
      <c r="B49" s="500" t="s">
        <v>245</v>
      </c>
      <c r="C49" s="501"/>
      <c r="D49" s="320">
        <f>+SUM(D45:D48)</f>
        <v>407</v>
      </c>
      <c r="E49" s="319">
        <f>+D49/$D$48</f>
        <v>2.2119565217391304</v>
      </c>
      <c r="F49" s="180"/>
      <c r="G49" s="496" t="str">
        <f>+P12</f>
        <v>Livianos (autos y camionetas)</v>
      </c>
      <c r="H49" s="496"/>
      <c r="I49" s="497"/>
      <c r="J49" s="310">
        <f t="shared" si="0"/>
        <v>902</v>
      </c>
      <c r="K49" s="314">
        <f t="shared" si="1"/>
        <v>0.65935672514619881</v>
      </c>
      <c r="L49" s="310">
        <f t="shared" si="2"/>
        <v>957</v>
      </c>
      <c r="M49" s="314">
        <f t="shared" si="3"/>
        <v>0.70941438102297993</v>
      </c>
      <c r="N49" s="180"/>
      <c r="O49" s="180"/>
      <c r="P49" s="180"/>
      <c r="Q49" s="214"/>
      <c r="R49" s="399"/>
      <c r="S49" s="214"/>
      <c r="T49" s="399"/>
      <c r="U49" s="180"/>
    </row>
    <row r="50" spans="2:23">
      <c r="F50" s="180"/>
      <c r="G50" s="496" t="s">
        <v>113</v>
      </c>
      <c r="H50" s="496"/>
      <c r="I50" s="497"/>
      <c r="J50" s="310">
        <f t="shared" si="0"/>
        <v>14</v>
      </c>
      <c r="K50" s="314">
        <f t="shared" si="1"/>
        <v>1.023391812865497E-2</v>
      </c>
      <c r="L50" s="310">
        <f t="shared" si="2"/>
        <v>14</v>
      </c>
      <c r="M50" s="314">
        <f t="shared" si="3"/>
        <v>1.0378057820607857E-2</v>
      </c>
      <c r="N50" s="180"/>
      <c r="O50" s="180"/>
      <c r="P50" s="180"/>
      <c r="Q50" s="214"/>
      <c r="R50" s="399"/>
      <c r="S50" s="214"/>
      <c r="T50" s="399"/>
      <c r="U50" s="180"/>
    </row>
    <row r="51" spans="2:23">
      <c r="F51" s="180"/>
      <c r="G51" s="496" t="s">
        <v>112</v>
      </c>
      <c r="H51" s="496"/>
      <c r="I51" s="497"/>
      <c r="J51" s="310">
        <f t="shared" si="0"/>
        <v>85</v>
      </c>
      <c r="K51" s="314">
        <f t="shared" si="1"/>
        <v>6.2134502923976605E-2</v>
      </c>
      <c r="L51" s="310">
        <f t="shared" si="2"/>
        <v>65</v>
      </c>
      <c r="M51" s="314">
        <f t="shared" si="3"/>
        <v>4.8183839881393624E-2</v>
      </c>
      <c r="N51" s="180"/>
      <c r="O51" s="180"/>
      <c r="P51" s="180"/>
      <c r="Q51" s="214"/>
      <c r="R51" s="399"/>
      <c r="S51" s="214"/>
      <c r="T51" s="399"/>
      <c r="U51" s="180"/>
    </row>
    <row r="52" spans="2:23">
      <c r="F52" s="180"/>
      <c r="G52" s="496" t="s">
        <v>111</v>
      </c>
      <c r="H52" s="496"/>
      <c r="I52" s="497"/>
      <c r="J52" s="310">
        <f t="shared" si="0"/>
        <v>124</v>
      </c>
      <c r="K52" s="314">
        <f t="shared" si="1"/>
        <v>9.0643274853801165E-2</v>
      </c>
      <c r="L52" s="310">
        <f t="shared" si="2"/>
        <v>104</v>
      </c>
      <c r="M52" s="314">
        <f t="shared" si="3"/>
        <v>7.7094143810229804E-2</v>
      </c>
      <c r="N52" s="180"/>
      <c r="O52" s="180"/>
      <c r="P52" s="180"/>
      <c r="Q52" s="214"/>
      <c r="R52" s="399"/>
      <c r="S52" s="214"/>
      <c r="T52" s="399"/>
      <c r="U52" s="180"/>
    </row>
    <row r="53" spans="2:23">
      <c r="F53" s="180"/>
      <c r="G53" s="496" t="s">
        <v>110</v>
      </c>
      <c r="H53" s="496"/>
      <c r="I53" s="503"/>
      <c r="J53" s="310">
        <f t="shared" si="0"/>
        <v>184</v>
      </c>
      <c r="K53" s="314">
        <f t="shared" si="1"/>
        <v>0.13450292397660818</v>
      </c>
      <c r="L53" s="310">
        <f>SUM(D35:G35,K35:N35,R35:U35)</f>
        <v>143</v>
      </c>
      <c r="M53" s="314">
        <f t="shared" si="3"/>
        <v>0.10600444773906598</v>
      </c>
      <c r="N53" s="180"/>
      <c r="O53" s="180"/>
      <c r="P53" s="180"/>
      <c r="Q53" s="214"/>
      <c r="R53" s="399"/>
      <c r="S53" s="214"/>
      <c r="T53" s="399"/>
      <c r="U53" s="180"/>
    </row>
    <row r="54" spans="2:23" ht="15.75" thickBot="1">
      <c r="F54" s="180"/>
      <c r="G54" s="496" t="s">
        <v>109</v>
      </c>
      <c r="H54" s="496"/>
      <c r="I54" s="497"/>
      <c r="J54" s="195">
        <f t="shared" si="0"/>
        <v>8</v>
      </c>
      <c r="K54" s="315">
        <f t="shared" si="1"/>
        <v>5.8479532163742687E-3</v>
      </c>
      <c r="L54" s="195">
        <f t="shared" si="2"/>
        <v>9</v>
      </c>
      <c r="M54" s="315">
        <f t="shared" si="3"/>
        <v>6.671608598962194E-3</v>
      </c>
      <c r="Q54" s="214"/>
      <c r="R54" s="399"/>
      <c r="S54" s="214"/>
      <c r="T54" s="399"/>
      <c r="V54" s="180"/>
      <c r="W54" s="180"/>
    </row>
    <row r="55" spans="2:23" ht="6" customHeight="1" thickBot="1">
      <c r="F55" s="180"/>
      <c r="V55" s="180"/>
      <c r="W55" s="180"/>
    </row>
    <row r="56" spans="2:23" ht="15.75" thickBot="1">
      <c r="F56" s="180"/>
      <c r="I56" s="300" t="s">
        <v>46</v>
      </c>
      <c r="J56" s="301">
        <f>+SUM(J48:J54)</f>
        <v>1368</v>
      </c>
      <c r="K56" s="302">
        <f>+SUM(K48:K54)</f>
        <v>0.99999999999999978</v>
      </c>
      <c r="L56" s="301">
        <f>+SUM(L48:L54)</f>
        <v>1349</v>
      </c>
      <c r="M56" s="303">
        <f>+SUM(M48:M54)</f>
        <v>1</v>
      </c>
      <c r="N56" s="180"/>
      <c r="O56" s="180"/>
      <c r="P56" s="397"/>
      <c r="Q56" s="186"/>
      <c r="R56" s="400"/>
      <c r="S56" s="186"/>
      <c r="T56" s="400"/>
      <c r="U56" s="180"/>
    </row>
    <row r="57" spans="2:23">
      <c r="B57" s="180"/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</row>
    <row r="58" spans="2:23">
      <c r="B58" s="180"/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0"/>
      <c r="U58" s="180"/>
    </row>
    <row r="59" spans="2:23">
      <c r="B59" s="180"/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</row>
    <row r="60" spans="2:23">
      <c r="B60" s="180"/>
      <c r="C60" s="180"/>
      <c r="D60" s="180"/>
      <c r="E60" s="180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0"/>
      <c r="U60" s="180"/>
    </row>
    <row r="61" spans="2:23">
      <c r="B61" s="180"/>
      <c r="C61" s="180"/>
      <c r="D61" s="180"/>
      <c r="E61" s="180"/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0"/>
      <c r="U61" s="180"/>
    </row>
    <row r="62" spans="2:23">
      <c r="B62" s="180"/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0"/>
      <c r="U62" s="180"/>
    </row>
    <row r="63" spans="2:23">
      <c r="B63" s="180"/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0"/>
    </row>
    <row r="64" spans="2:23">
      <c r="B64" s="180"/>
      <c r="C64" s="180"/>
      <c r="D64" s="180"/>
      <c r="E64" s="180"/>
      <c r="F64" s="180"/>
      <c r="G64" s="180"/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0"/>
      <c r="U64" s="180"/>
    </row>
    <row r="65" spans="2:21">
      <c r="B65" s="180"/>
      <c r="C65" s="180"/>
      <c r="D65" s="180"/>
      <c r="E65" s="180"/>
      <c r="F65" s="180"/>
      <c r="G65" s="180"/>
      <c r="H65" s="180"/>
      <c r="I65" s="180"/>
      <c r="J65" s="180"/>
      <c r="K65" s="180"/>
      <c r="L65" s="180"/>
      <c r="M65" s="180"/>
      <c r="N65" s="180"/>
      <c r="O65" s="180"/>
      <c r="P65" s="180"/>
      <c r="Q65" s="180"/>
      <c r="R65" s="180"/>
      <c r="S65" s="180"/>
      <c r="T65" s="180"/>
      <c r="U65" s="180"/>
    </row>
    <row r="66" spans="2:21">
      <c r="B66" s="180"/>
      <c r="C66" s="180"/>
      <c r="D66" s="180"/>
      <c r="E66" s="180"/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0"/>
      <c r="U66" s="180"/>
    </row>
    <row r="67" spans="2:21">
      <c r="B67" s="180"/>
      <c r="C67" s="180"/>
      <c r="D67" s="180"/>
      <c r="E67" s="180"/>
      <c r="F67" s="180"/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0"/>
      <c r="U67" s="180"/>
    </row>
    <row r="68" spans="2:21">
      <c r="B68" s="180"/>
      <c r="C68" s="180"/>
      <c r="D68" s="180"/>
      <c r="E68" s="180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0"/>
      <c r="U68" s="180"/>
    </row>
    <row r="69" spans="2:21">
      <c r="B69" s="180"/>
      <c r="C69" s="180"/>
      <c r="D69" s="180"/>
      <c r="E69" s="180"/>
      <c r="F69" s="180"/>
      <c r="G69" s="180"/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  <c r="S69" s="180"/>
      <c r="T69" s="180"/>
      <c r="U69" s="180"/>
    </row>
    <row r="70" spans="2:21">
      <c r="B70" s="180"/>
      <c r="C70" s="180"/>
      <c r="D70" s="180"/>
      <c r="E70" s="180"/>
      <c r="F70" s="180"/>
      <c r="G70" s="180"/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0"/>
      <c r="U70" s="180"/>
    </row>
    <row r="71" spans="2:21">
      <c r="B71" s="18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0"/>
      <c r="U71" s="180"/>
    </row>
    <row r="72" spans="2:21">
      <c r="B72" s="180"/>
      <c r="C72" s="180"/>
      <c r="D72" s="180"/>
      <c r="E72" s="180"/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0"/>
      <c r="U72" s="180"/>
    </row>
    <row r="73" spans="2:21">
      <c r="B73" s="180"/>
      <c r="C73" s="180"/>
      <c r="D73" s="180"/>
      <c r="E73" s="180"/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0"/>
      <c r="U73" s="180"/>
    </row>
    <row r="74" spans="2:21"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</row>
    <row r="75" spans="2:21">
      <c r="B75" s="180"/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0"/>
      <c r="U75" s="180"/>
    </row>
    <row r="76" spans="2:21"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</row>
    <row r="77" spans="2:21">
      <c r="B77" s="180"/>
      <c r="C77" s="180"/>
      <c r="D77" s="180"/>
      <c r="E77" s="180"/>
      <c r="F77" s="180"/>
      <c r="G77" s="180"/>
      <c r="H77" s="180"/>
      <c r="I77" s="180"/>
      <c r="J77" s="180"/>
      <c r="K77" s="180"/>
      <c r="L77" s="180"/>
      <c r="M77" s="180"/>
      <c r="N77" s="180"/>
      <c r="O77" s="180"/>
      <c r="P77" s="180"/>
      <c r="Q77" s="180"/>
      <c r="R77" s="180"/>
      <c r="S77" s="180"/>
      <c r="T77" s="180"/>
      <c r="U77" s="180"/>
    </row>
    <row r="78" spans="2:21">
      <c r="B78" s="180"/>
      <c r="C78" s="180"/>
      <c r="D78" s="180"/>
      <c r="E78" s="180"/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0"/>
      <c r="U78" s="180"/>
    </row>
    <row r="79" spans="2:21">
      <c r="B79" s="180"/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0"/>
      <c r="U79" s="180"/>
    </row>
    <row r="80" spans="2:21">
      <c r="B80" s="180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0"/>
      <c r="U80" s="180"/>
    </row>
    <row r="81" spans="2:21"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180"/>
      <c r="N81" s="180"/>
      <c r="O81" s="180"/>
      <c r="P81" s="180"/>
      <c r="Q81" s="180"/>
      <c r="R81" s="180"/>
      <c r="S81" s="180"/>
      <c r="T81" s="180"/>
      <c r="U81" s="180"/>
    </row>
    <row r="82" spans="2:21">
      <c r="B82" s="180"/>
      <c r="C82" s="180"/>
      <c r="D82" s="180"/>
      <c r="E82" s="180"/>
      <c r="F82" s="180"/>
      <c r="G82" s="180"/>
      <c r="H82" s="180"/>
      <c r="I82" s="180"/>
      <c r="J82" s="180"/>
      <c r="K82" s="180"/>
      <c r="L82" s="180"/>
      <c r="M82" s="180"/>
      <c r="N82" s="180"/>
      <c r="O82" s="180"/>
      <c r="P82" s="180"/>
      <c r="Q82" s="180"/>
      <c r="R82" s="180"/>
      <c r="S82" s="180"/>
      <c r="T82" s="180"/>
      <c r="U82" s="180"/>
    </row>
    <row r="83" spans="2:21">
      <c r="B83" s="180"/>
      <c r="C83" s="180"/>
      <c r="D83" s="180"/>
      <c r="E83" s="180"/>
      <c r="F83" s="180"/>
      <c r="G83" s="180"/>
      <c r="H83" s="180"/>
      <c r="I83" s="180"/>
      <c r="J83" s="180"/>
      <c r="K83" s="180"/>
      <c r="L83" s="180"/>
      <c r="M83" s="180"/>
      <c r="N83" s="180"/>
      <c r="O83" s="180"/>
      <c r="P83" s="180"/>
      <c r="Q83" s="180"/>
      <c r="R83" s="180"/>
      <c r="S83" s="180"/>
      <c r="T83" s="180"/>
      <c r="U83" s="180"/>
    </row>
    <row r="84" spans="2:21">
      <c r="B84" s="180"/>
      <c r="C84" s="180"/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80"/>
      <c r="S84" s="180"/>
      <c r="T84" s="180"/>
      <c r="U84" s="180"/>
    </row>
    <row r="85" spans="2:21">
      <c r="B85" s="180"/>
      <c r="C85" s="180"/>
      <c r="D85" s="180"/>
      <c r="E85" s="180"/>
      <c r="F85" s="180"/>
      <c r="G85" s="180"/>
      <c r="H85" s="180"/>
      <c r="I85" s="180"/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0"/>
      <c r="U85" s="180"/>
    </row>
    <row r="86" spans="2:21">
      <c r="B86" s="180"/>
      <c r="C86" s="180"/>
      <c r="D86" s="180"/>
      <c r="E86" s="180"/>
      <c r="F86" s="180"/>
      <c r="G86" s="180"/>
      <c r="H86" s="180"/>
      <c r="I86" s="180"/>
      <c r="J86" s="180"/>
      <c r="K86" s="180"/>
      <c r="L86" s="180"/>
      <c r="M86" s="180"/>
      <c r="N86" s="180"/>
      <c r="O86" s="180"/>
      <c r="P86" s="180"/>
      <c r="Q86" s="180"/>
      <c r="R86" s="180"/>
      <c r="S86" s="180"/>
      <c r="T86" s="180"/>
      <c r="U86" s="180"/>
    </row>
    <row r="87" spans="2:21">
      <c r="B87" s="180"/>
      <c r="C87" s="180"/>
      <c r="D87" s="180"/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0"/>
      <c r="U87" s="180"/>
    </row>
    <row r="88" spans="2:21">
      <c r="B88" s="180"/>
      <c r="C88" s="180"/>
      <c r="D88" s="180"/>
      <c r="E88" s="180"/>
      <c r="F88" s="180"/>
      <c r="G88" s="180"/>
      <c r="H88" s="180"/>
      <c r="I88" s="180"/>
      <c r="J88" s="180"/>
      <c r="K88" s="180"/>
      <c r="L88" s="180"/>
      <c r="M88" s="180"/>
      <c r="N88" s="180"/>
      <c r="O88" s="180"/>
      <c r="P88" s="180"/>
      <c r="Q88" s="180"/>
      <c r="R88" s="180"/>
      <c r="S88" s="180"/>
      <c r="T88" s="180"/>
      <c r="U88" s="180"/>
    </row>
    <row r="89" spans="2:21">
      <c r="B89" s="180"/>
      <c r="C89" s="180"/>
      <c r="D89" s="180"/>
      <c r="E89" s="180"/>
      <c r="F89" s="180"/>
      <c r="G89" s="180"/>
      <c r="H89" s="180"/>
      <c r="I89" s="180"/>
      <c r="J89" s="180"/>
      <c r="K89" s="180"/>
      <c r="L89" s="180"/>
      <c r="M89" s="180"/>
      <c r="N89" s="180"/>
      <c r="O89" s="180"/>
      <c r="P89" s="180"/>
      <c r="Q89" s="180"/>
      <c r="R89" s="180"/>
      <c r="S89" s="180"/>
      <c r="T89" s="180"/>
      <c r="U89" s="180"/>
    </row>
    <row r="90" spans="2:21">
      <c r="B90" s="180"/>
      <c r="C90" s="180"/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0"/>
      <c r="U90" s="180"/>
    </row>
    <row r="91" spans="2:21">
      <c r="B91" s="180"/>
      <c r="C91" s="180"/>
      <c r="D91" s="180"/>
      <c r="E91" s="180"/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  <c r="S91" s="180"/>
      <c r="T91" s="180"/>
      <c r="U91" s="180"/>
    </row>
    <row r="92" spans="2:21">
      <c r="B92" s="180"/>
      <c r="C92" s="180"/>
      <c r="D92" s="180"/>
      <c r="E92" s="180"/>
      <c r="F92" s="180"/>
      <c r="G92" s="180"/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</row>
    <row r="93" spans="2:21">
      <c r="B93" s="180"/>
      <c r="C93" s="180"/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  <c r="S93" s="180"/>
      <c r="T93" s="180"/>
      <c r="U93" s="180"/>
    </row>
    <row r="94" spans="2:21">
      <c r="B94" s="180"/>
      <c r="C94" s="180"/>
      <c r="D94" s="180"/>
      <c r="E94" s="180"/>
      <c r="F94" s="180"/>
      <c r="G94" s="180"/>
      <c r="H94" s="180"/>
      <c r="I94" s="180"/>
      <c r="J94" s="180"/>
      <c r="K94" s="180"/>
      <c r="L94" s="180"/>
      <c r="M94" s="180"/>
      <c r="N94" s="180"/>
      <c r="O94" s="180"/>
      <c r="P94" s="180"/>
      <c r="Q94" s="180"/>
      <c r="R94" s="180"/>
      <c r="S94" s="180"/>
      <c r="T94" s="180"/>
      <c r="U94" s="180"/>
    </row>
    <row r="95" spans="2:21">
      <c r="B95" s="180"/>
      <c r="C95" s="180"/>
      <c r="D95" s="180"/>
      <c r="E95" s="180"/>
      <c r="F95" s="180"/>
      <c r="G95" s="180"/>
      <c r="H95" s="180"/>
      <c r="I95" s="180"/>
      <c r="J95" s="180"/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</row>
    <row r="96" spans="2:21">
      <c r="B96" s="180"/>
      <c r="C96" s="180"/>
      <c r="D96" s="180"/>
      <c r="E96" s="180"/>
      <c r="F96" s="180"/>
      <c r="G96" s="180"/>
      <c r="H96" s="180"/>
      <c r="I96" s="180"/>
      <c r="J96" s="180"/>
      <c r="K96" s="180"/>
      <c r="L96" s="180"/>
      <c r="M96" s="180"/>
      <c r="N96" s="180"/>
      <c r="O96" s="180"/>
      <c r="P96" s="180"/>
      <c r="Q96" s="180"/>
      <c r="R96" s="180"/>
      <c r="S96" s="180"/>
      <c r="T96" s="180"/>
      <c r="U96" s="180"/>
    </row>
    <row r="97" spans="2:21">
      <c r="B97" s="180"/>
      <c r="C97" s="180"/>
      <c r="D97" s="180"/>
      <c r="E97" s="180"/>
      <c r="F97" s="180"/>
      <c r="G97" s="180"/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  <c r="S97" s="180"/>
      <c r="T97" s="180"/>
      <c r="U97" s="180"/>
    </row>
    <row r="98" spans="2:21">
      <c r="B98" s="180"/>
      <c r="C98" s="180"/>
      <c r="D98" s="180"/>
      <c r="E98" s="180"/>
      <c r="F98" s="180"/>
      <c r="G98" s="180"/>
      <c r="H98" s="180"/>
      <c r="I98" s="180"/>
      <c r="J98" s="180"/>
      <c r="K98" s="180"/>
      <c r="L98" s="180"/>
      <c r="M98" s="180"/>
      <c r="N98" s="180"/>
      <c r="O98" s="180"/>
      <c r="P98" s="180"/>
      <c r="Q98" s="180"/>
      <c r="R98" s="180"/>
      <c r="S98" s="180"/>
      <c r="T98" s="180"/>
      <c r="U98" s="180"/>
    </row>
    <row r="99" spans="2:21">
      <c r="B99" s="180"/>
      <c r="C99" s="180"/>
      <c r="D99" s="180"/>
      <c r="E99" s="180"/>
      <c r="F99" s="180"/>
      <c r="G99" s="180"/>
      <c r="H99" s="180"/>
      <c r="I99" s="180"/>
      <c r="J99" s="180"/>
      <c r="K99" s="180"/>
      <c r="L99" s="180"/>
      <c r="M99" s="180"/>
      <c r="N99" s="180"/>
      <c r="O99" s="180"/>
      <c r="P99" s="180"/>
      <c r="Q99" s="180"/>
      <c r="R99" s="180"/>
      <c r="S99" s="180"/>
      <c r="T99" s="180"/>
      <c r="U99" s="180"/>
    </row>
    <row r="100" spans="2:21">
      <c r="B100" s="180"/>
      <c r="C100" s="180"/>
      <c r="D100" s="180"/>
      <c r="E100" s="180"/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</row>
    <row r="101" spans="2:21">
      <c r="B101" s="180"/>
      <c r="C101" s="180"/>
      <c r="D101" s="180"/>
      <c r="E101" s="180"/>
      <c r="F101" s="180"/>
      <c r="G101" s="180"/>
      <c r="H101" s="180"/>
      <c r="I101" s="180"/>
      <c r="J101" s="180"/>
      <c r="K101" s="180"/>
      <c r="L101" s="180"/>
      <c r="M101" s="180"/>
      <c r="N101" s="180"/>
      <c r="O101" s="180"/>
      <c r="P101" s="180"/>
      <c r="Q101" s="180"/>
      <c r="R101" s="180"/>
      <c r="S101" s="180"/>
      <c r="T101" s="180"/>
      <c r="U101" s="180"/>
    </row>
    <row r="102" spans="2:21">
      <c r="B102" s="180"/>
      <c r="C102" s="180"/>
      <c r="D102" s="180"/>
      <c r="E102" s="180"/>
      <c r="F102" s="180"/>
      <c r="G102" s="180"/>
      <c r="H102" s="180"/>
      <c r="I102" s="180"/>
      <c r="J102" s="180"/>
      <c r="K102" s="180"/>
      <c r="L102" s="180"/>
      <c r="M102" s="180"/>
      <c r="N102" s="180"/>
      <c r="O102" s="180"/>
      <c r="P102" s="180"/>
      <c r="Q102" s="180"/>
      <c r="R102" s="180"/>
      <c r="S102" s="180"/>
      <c r="T102" s="180"/>
      <c r="U102" s="180"/>
    </row>
  </sheetData>
  <mergeCells count="142">
    <mergeCell ref="D35:E35"/>
    <mergeCell ref="F35:G35"/>
    <mergeCell ref="K35:L35"/>
    <mergeCell ref="R35:S35"/>
    <mergeCell ref="M34:N34"/>
    <mergeCell ref="R34:S34"/>
    <mergeCell ref="R9:S9"/>
    <mergeCell ref="T9:U9"/>
    <mergeCell ref="D11:E11"/>
    <mergeCell ref="D28:E28"/>
    <mergeCell ref="F28:G28"/>
    <mergeCell ref="K28:L28"/>
    <mergeCell ref="R28:S28"/>
    <mergeCell ref="D27:G27"/>
    <mergeCell ref="D31:E31"/>
    <mergeCell ref="F31:G31"/>
    <mergeCell ref="K31:L31"/>
    <mergeCell ref="R31:S31"/>
    <mergeCell ref="M30:N30"/>
    <mergeCell ref="R30:S30"/>
    <mergeCell ref="K33:L33"/>
    <mergeCell ref="R33:S33"/>
    <mergeCell ref="M32:N32"/>
    <mergeCell ref="R32:S32"/>
    <mergeCell ref="T32:U32"/>
    <mergeCell ref="M33:N33"/>
    <mergeCell ref="T33:U33"/>
    <mergeCell ref="D32:E32"/>
    <mergeCell ref="F32:G32"/>
    <mergeCell ref="K32:L32"/>
    <mergeCell ref="R8:U8"/>
    <mergeCell ref="T34:U34"/>
    <mergeCell ref="M35:N35"/>
    <mergeCell ref="T35:U35"/>
    <mergeCell ref="D34:E34"/>
    <mergeCell ref="F34:G34"/>
    <mergeCell ref="K34:L34"/>
    <mergeCell ref="T30:U30"/>
    <mergeCell ref="M31:N31"/>
    <mergeCell ref="T31:U31"/>
    <mergeCell ref="D30:E30"/>
    <mergeCell ref="F30:G30"/>
    <mergeCell ref="K30:L30"/>
    <mergeCell ref="D33:E33"/>
    <mergeCell ref="F33:G33"/>
    <mergeCell ref="F11:G11"/>
    <mergeCell ref="K11:L11"/>
    <mergeCell ref="M11:N11"/>
    <mergeCell ref="D39:E39"/>
    <mergeCell ref="R39:S39"/>
    <mergeCell ref="M36:N36"/>
    <mergeCell ref="R36:S36"/>
    <mergeCell ref="T36:U36"/>
    <mergeCell ref="K39:L39"/>
    <mergeCell ref="D36:E36"/>
    <mergeCell ref="F36:G36"/>
    <mergeCell ref="K36:L36"/>
    <mergeCell ref="R11:S11"/>
    <mergeCell ref="T11:U11"/>
    <mergeCell ref="D9:E9"/>
    <mergeCell ref="F9:G9"/>
    <mergeCell ref="K9:L9"/>
    <mergeCell ref="M9:N9"/>
    <mergeCell ref="D10:E10"/>
    <mergeCell ref="F10:G10"/>
    <mergeCell ref="K10:L10"/>
    <mergeCell ref="M10:N10"/>
    <mergeCell ref="R10:S10"/>
    <mergeCell ref="T10:U10"/>
    <mergeCell ref="F16:G16"/>
    <mergeCell ref="D17:E17"/>
    <mergeCell ref="F17:G17"/>
    <mergeCell ref="D12:E12"/>
    <mergeCell ref="F12:G12"/>
    <mergeCell ref="D13:E13"/>
    <mergeCell ref="F13:G13"/>
    <mergeCell ref="D14:E14"/>
    <mergeCell ref="F14:G14"/>
    <mergeCell ref="R29:S29"/>
    <mergeCell ref="T29:U29"/>
    <mergeCell ref="K20:L20"/>
    <mergeCell ref="R20:S20"/>
    <mergeCell ref="D20:E20"/>
    <mergeCell ref="K8:N8"/>
    <mergeCell ref="K27:N27"/>
    <mergeCell ref="M28:N28"/>
    <mergeCell ref="T28:U28"/>
    <mergeCell ref="R27:U27"/>
    <mergeCell ref="R15:S15"/>
    <mergeCell ref="T15:U15"/>
    <mergeCell ref="R16:S16"/>
    <mergeCell ref="T16:U16"/>
    <mergeCell ref="R17:S17"/>
    <mergeCell ref="T17:U17"/>
    <mergeCell ref="R12:S12"/>
    <mergeCell ref="T12:U12"/>
    <mergeCell ref="R13:S13"/>
    <mergeCell ref="T13:U13"/>
    <mergeCell ref="R14:S14"/>
    <mergeCell ref="T14:U14"/>
    <mergeCell ref="K15:L15"/>
    <mergeCell ref="M15:N15"/>
    <mergeCell ref="B8:C10"/>
    <mergeCell ref="I8:J10"/>
    <mergeCell ref="P8:Q10"/>
    <mergeCell ref="P27:Q29"/>
    <mergeCell ref="I27:J29"/>
    <mergeCell ref="B27:C29"/>
    <mergeCell ref="D8:G8"/>
    <mergeCell ref="D29:E29"/>
    <mergeCell ref="F29:G29"/>
    <mergeCell ref="K29:L29"/>
    <mergeCell ref="M29:N29"/>
    <mergeCell ref="K16:L16"/>
    <mergeCell ref="M16:N16"/>
    <mergeCell ref="K17:L17"/>
    <mergeCell ref="M17:N17"/>
    <mergeCell ref="K12:L12"/>
    <mergeCell ref="M12:N12"/>
    <mergeCell ref="K13:L13"/>
    <mergeCell ref="M13:N13"/>
    <mergeCell ref="K14:L14"/>
    <mergeCell ref="M14:N14"/>
    <mergeCell ref="D15:E15"/>
    <mergeCell ref="F15:G15"/>
    <mergeCell ref="D16:E16"/>
    <mergeCell ref="G54:I54"/>
    <mergeCell ref="J46:K46"/>
    <mergeCell ref="L46:M46"/>
    <mergeCell ref="G42:M42"/>
    <mergeCell ref="B42:E42"/>
    <mergeCell ref="B43:C44"/>
    <mergeCell ref="D43:D44"/>
    <mergeCell ref="E43:E44"/>
    <mergeCell ref="B49:C49"/>
    <mergeCell ref="G47:I47"/>
    <mergeCell ref="G48:I48"/>
    <mergeCell ref="G49:I49"/>
    <mergeCell ref="G50:I50"/>
    <mergeCell ref="G51:I51"/>
    <mergeCell ref="G52:I52"/>
    <mergeCell ref="G53:I5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AL103"/>
  <sheetViews>
    <sheetView showGridLines="0" topLeftCell="A48" zoomScaleNormal="100" workbookViewId="0">
      <selection activeCell="T73" sqref="T73"/>
    </sheetView>
  </sheetViews>
  <sheetFormatPr baseColWidth="10" defaultRowHeight="15"/>
  <cols>
    <col min="1" max="1" width="9.28515625" style="180" customWidth="1"/>
    <col min="2" max="2" width="25.140625" style="180" customWidth="1"/>
    <col min="3" max="3" width="12.140625" style="181" customWidth="1"/>
    <col min="4" max="4" width="9.5703125" style="181" customWidth="1"/>
    <col min="5" max="5" width="9" style="181" customWidth="1"/>
    <col min="6" max="6" width="10.140625" style="183" customWidth="1"/>
    <col min="7" max="7" width="10.5703125" style="183" customWidth="1"/>
    <col min="8" max="8" width="8.85546875" style="183" customWidth="1"/>
    <col min="9" max="9" width="9.5703125" style="211" customWidth="1"/>
    <col min="10" max="10" width="10.5703125" style="211" customWidth="1"/>
    <col min="11" max="11" width="10.7109375" style="211" customWidth="1"/>
    <col min="12" max="12" width="7.5703125" style="211" customWidth="1"/>
    <col min="13" max="13" width="10.5703125" style="211" customWidth="1"/>
    <col min="14" max="14" width="8.42578125" style="211" customWidth="1"/>
    <col min="15" max="15" width="10" style="211" customWidth="1"/>
    <col min="16" max="16" width="9.5703125" style="211" customWidth="1"/>
    <col min="17" max="17" width="11" style="211" customWidth="1"/>
    <col min="18" max="18" width="11.28515625" style="211" customWidth="1"/>
    <col min="19" max="19" width="11.140625" style="211" customWidth="1"/>
    <col min="20" max="20" width="10" style="211" customWidth="1"/>
    <col min="21" max="21" width="9.42578125" style="211" customWidth="1"/>
    <col min="22" max="22" width="12.140625" style="211" customWidth="1"/>
    <col min="23" max="23" width="10" style="211" customWidth="1"/>
    <col min="24" max="24" width="9.85546875" style="211" customWidth="1"/>
    <col min="25" max="25" width="16.140625" style="211" customWidth="1"/>
    <col min="26" max="26" width="9.85546875" style="211" customWidth="1"/>
    <col min="27" max="27" width="29.28515625" style="211" bestFit="1" customWidth="1"/>
    <col min="28" max="28" width="20.140625" style="211" bestFit="1" customWidth="1"/>
    <col min="29" max="29" width="19.42578125" style="211" bestFit="1" customWidth="1"/>
    <col min="30" max="30" width="15.85546875" style="211" customWidth="1"/>
    <col min="31" max="31" width="16.28515625" customWidth="1"/>
    <col min="32" max="32" width="13" customWidth="1"/>
    <col min="33" max="33" width="13.42578125" customWidth="1"/>
    <col min="34" max="34" width="10.42578125" customWidth="1"/>
    <col min="35" max="35" width="11.5703125" customWidth="1"/>
    <col min="36" max="36" width="10.42578125" customWidth="1"/>
  </cols>
  <sheetData>
    <row r="2" spans="1:33" ht="15.75" thickBot="1">
      <c r="AE2" s="211"/>
      <c r="AF2" s="211"/>
      <c r="AG2" s="211"/>
    </row>
    <row r="3" spans="1:33" s="5" customFormat="1" ht="51.75" thickBot="1">
      <c r="A3" s="183"/>
      <c r="B3" s="447" t="s">
        <v>167</v>
      </c>
      <c r="C3" s="448" t="s">
        <v>122</v>
      </c>
      <c r="D3" s="448" t="s">
        <v>166</v>
      </c>
      <c r="E3" s="448" t="s">
        <v>165</v>
      </c>
      <c r="F3" s="448" t="s">
        <v>285</v>
      </c>
      <c r="G3" s="448" t="s">
        <v>210</v>
      </c>
      <c r="H3" s="448" t="s">
        <v>281</v>
      </c>
      <c r="I3" s="448" t="s">
        <v>283</v>
      </c>
      <c r="J3" s="448" t="s">
        <v>60</v>
      </c>
      <c r="K3" s="448" t="s">
        <v>282</v>
      </c>
      <c r="L3" s="448" t="s">
        <v>284</v>
      </c>
      <c r="M3" s="448" t="s">
        <v>286</v>
      </c>
      <c r="N3" s="448" t="s">
        <v>231</v>
      </c>
      <c r="O3" s="448" t="s">
        <v>289</v>
      </c>
      <c r="P3" s="448" t="s">
        <v>232</v>
      </c>
      <c r="Q3" s="449" t="s">
        <v>290</v>
      </c>
      <c r="W3" s="183"/>
      <c r="X3" s="211"/>
      <c r="Y3" s="211"/>
      <c r="Z3" s="211"/>
      <c r="AA3" s="211"/>
      <c r="AB3" s="211"/>
      <c r="AC3" s="211"/>
      <c r="AD3" s="211"/>
      <c r="AE3" s="211"/>
      <c r="AF3" s="211"/>
      <c r="AG3" s="211"/>
    </row>
    <row r="4" spans="1:33" ht="15" hidden="1" customHeight="1">
      <c r="B4" s="366"/>
      <c r="C4" s="186"/>
      <c r="D4" s="186"/>
      <c r="E4" s="186"/>
      <c r="F4" s="214"/>
      <c r="G4" s="214"/>
      <c r="H4" s="214"/>
      <c r="I4" s="213"/>
      <c r="J4" s="213"/>
      <c r="K4" s="213"/>
      <c r="L4" s="213"/>
      <c r="M4" s="402"/>
      <c r="P4" s="180"/>
      <c r="AE4" s="211"/>
      <c r="AF4" s="211"/>
      <c r="AG4" s="211"/>
    </row>
    <row r="5" spans="1:33" ht="15.75" hidden="1" customHeight="1" thickBot="1">
      <c r="B5" s="366"/>
      <c r="C5" s="186"/>
      <c r="D5" s="186"/>
      <c r="E5" s="186"/>
      <c r="F5" s="214"/>
      <c r="G5" s="214"/>
      <c r="H5" s="214"/>
      <c r="I5" s="213"/>
      <c r="J5" s="213"/>
      <c r="K5" s="213"/>
      <c r="L5" s="213"/>
      <c r="M5" s="402"/>
      <c r="P5" s="180"/>
      <c r="AE5" s="211"/>
      <c r="AF5" s="211"/>
      <c r="AG5" s="211"/>
    </row>
    <row r="6" spans="1:33" s="41" customFormat="1" ht="13.5" customHeight="1">
      <c r="A6" s="211"/>
      <c r="B6" s="554" t="s">
        <v>162</v>
      </c>
      <c r="C6" s="336">
        <v>0.3743055555555555</v>
      </c>
      <c r="D6" s="337">
        <v>0.41597222222222219</v>
      </c>
      <c r="E6" s="393">
        <v>231</v>
      </c>
      <c r="F6" s="338">
        <v>0.375</v>
      </c>
      <c r="G6" s="339">
        <v>5.5640000000000001</v>
      </c>
      <c r="H6" s="563" t="s">
        <v>147</v>
      </c>
      <c r="I6" s="565">
        <v>0.91200000000000003</v>
      </c>
      <c r="J6" s="563" t="s">
        <v>140</v>
      </c>
      <c r="K6" s="563">
        <v>0.99199999999999999</v>
      </c>
      <c r="L6" s="569">
        <v>3732.1870371968589</v>
      </c>
      <c r="M6" s="612">
        <v>3813.4932894788344</v>
      </c>
      <c r="N6" s="573">
        <v>813.98673754005949</v>
      </c>
      <c r="O6" s="574">
        <f>+N6*5/7+N10*2/7</f>
        <v>777.73120632157566</v>
      </c>
      <c r="P6" s="573">
        <v>2918.2002996567994</v>
      </c>
      <c r="Q6" s="579">
        <f>+P6*5/7+P10*2/7</f>
        <v>3035.762083157259</v>
      </c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</row>
    <row r="7" spans="1:33" s="41" customFormat="1" ht="13.5" customHeight="1">
      <c r="A7" s="211"/>
      <c r="B7" s="552"/>
      <c r="C7" s="340">
        <v>0.41597222222222219</v>
      </c>
      <c r="D7" s="341">
        <v>0.45763888888888887</v>
      </c>
      <c r="E7" s="394">
        <v>235</v>
      </c>
      <c r="F7" s="342">
        <v>0.41666666666666669</v>
      </c>
      <c r="G7" s="343">
        <v>6.1369999999999996</v>
      </c>
      <c r="H7" s="559"/>
      <c r="I7" s="561"/>
      <c r="J7" s="559"/>
      <c r="K7" s="559"/>
      <c r="L7" s="566"/>
      <c r="M7" s="613"/>
      <c r="N7" s="571"/>
      <c r="O7" s="575"/>
      <c r="P7" s="571"/>
      <c r="Q7" s="580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</row>
    <row r="8" spans="1:33" s="41" customFormat="1" ht="13.5" customHeight="1">
      <c r="A8" s="211"/>
      <c r="B8" s="552"/>
      <c r="C8" s="340">
        <v>0.45763888888888887</v>
      </c>
      <c r="D8" s="341">
        <v>0.4993055555555555</v>
      </c>
      <c r="E8" s="394">
        <v>232</v>
      </c>
      <c r="F8" s="342">
        <v>0.45833333333333298</v>
      </c>
      <c r="G8" s="343">
        <v>5.7140000000000004</v>
      </c>
      <c r="H8" s="559"/>
      <c r="I8" s="561"/>
      <c r="J8" s="559"/>
      <c r="K8" s="559"/>
      <c r="L8" s="566"/>
      <c r="M8" s="613"/>
      <c r="N8" s="571"/>
      <c r="O8" s="575"/>
      <c r="P8" s="571"/>
      <c r="Q8" s="580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</row>
    <row r="9" spans="1:33" s="41" customFormat="1" ht="13.5" customHeight="1">
      <c r="A9" s="211"/>
      <c r="B9" s="555"/>
      <c r="C9" s="344">
        <v>0.5</v>
      </c>
      <c r="D9" s="345">
        <v>0.54166666666666663</v>
      </c>
      <c r="E9" s="395">
        <v>258</v>
      </c>
      <c r="F9" s="346">
        <v>0.5</v>
      </c>
      <c r="G9" s="347">
        <v>5.7590000000000003</v>
      </c>
      <c r="H9" s="564"/>
      <c r="I9" s="561"/>
      <c r="J9" s="559"/>
      <c r="K9" s="559"/>
      <c r="L9" s="566"/>
      <c r="M9" s="613"/>
      <c r="N9" s="571"/>
      <c r="O9" s="575"/>
      <c r="P9" s="571"/>
      <c r="Q9" s="580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</row>
    <row r="10" spans="1:33" s="41" customFormat="1" ht="13.5" customHeight="1">
      <c r="A10" s="211"/>
      <c r="B10" s="551" t="s">
        <v>162</v>
      </c>
      <c r="C10" s="348">
        <v>0.3743055555555555</v>
      </c>
      <c r="D10" s="349">
        <v>0.41597222222222219</v>
      </c>
      <c r="E10" s="394">
        <v>244.07781175950919</v>
      </c>
      <c r="F10" s="350">
        <v>0.375</v>
      </c>
      <c r="G10" s="351">
        <v>6.0609999999999999</v>
      </c>
      <c r="H10" s="566" t="s">
        <v>145</v>
      </c>
      <c r="I10" s="558">
        <v>1.1479999999999999</v>
      </c>
      <c r="J10" s="559"/>
      <c r="K10" s="559"/>
      <c r="L10" s="566">
        <v>4016.7589201837745</v>
      </c>
      <c r="M10" s="613"/>
      <c r="N10" s="571">
        <v>687.09237827536629</v>
      </c>
      <c r="O10" s="575"/>
      <c r="P10" s="571">
        <v>3329.6665419084084</v>
      </c>
      <c r="Q10" s="580"/>
      <c r="W10" s="327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</row>
    <row r="11" spans="1:33" s="41" customFormat="1" ht="13.5" customHeight="1">
      <c r="A11" s="211"/>
      <c r="B11" s="552"/>
      <c r="C11" s="340">
        <v>0.41597222222222219</v>
      </c>
      <c r="D11" s="341">
        <v>0.45763888888888887</v>
      </c>
      <c r="E11" s="394">
        <v>213.77971345005565</v>
      </c>
      <c r="F11" s="342">
        <v>0.41666666666666669</v>
      </c>
      <c r="G11" s="343">
        <v>6.92</v>
      </c>
      <c r="H11" s="566"/>
      <c r="I11" s="559"/>
      <c r="J11" s="559"/>
      <c r="K11" s="559"/>
      <c r="L11" s="566"/>
      <c r="M11" s="613"/>
      <c r="N11" s="571"/>
      <c r="O11" s="575"/>
      <c r="P11" s="571"/>
      <c r="Q11" s="580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</row>
    <row r="12" spans="1:33" s="41" customFormat="1" ht="13.5" customHeight="1">
      <c r="A12" s="211"/>
      <c r="B12" s="552"/>
      <c r="C12" s="340">
        <v>0.45763888888888887</v>
      </c>
      <c r="D12" s="341">
        <v>0.4993055555555555</v>
      </c>
      <c r="E12" s="394">
        <v>233.70803189573817</v>
      </c>
      <c r="F12" s="342">
        <v>0.45833333333333298</v>
      </c>
      <c r="G12" s="343">
        <v>6.92</v>
      </c>
      <c r="H12" s="566"/>
      <c r="I12" s="559"/>
      <c r="J12" s="559"/>
      <c r="K12" s="559"/>
      <c r="L12" s="566"/>
      <c r="M12" s="613"/>
      <c r="N12" s="571"/>
      <c r="O12" s="575"/>
      <c r="P12" s="571"/>
      <c r="Q12" s="580"/>
      <c r="W12" s="327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</row>
    <row r="13" spans="1:33" s="41" customFormat="1" ht="13.5" customHeight="1" thickBot="1">
      <c r="A13" s="211"/>
      <c r="B13" s="553"/>
      <c r="C13" s="352">
        <v>0.5</v>
      </c>
      <c r="D13" s="353">
        <v>0.54166666666666663</v>
      </c>
      <c r="E13" s="394">
        <v>244.07781175950919</v>
      </c>
      <c r="F13" s="354">
        <v>0.5</v>
      </c>
      <c r="G13" s="355">
        <v>6.6260000000000003</v>
      </c>
      <c r="H13" s="570"/>
      <c r="I13" s="560"/>
      <c r="J13" s="560"/>
      <c r="K13" s="560"/>
      <c r="L13" s="570"/>
      <c r="M13" s="614"/>
      <c r="N13" s="572"/>
      <c r="O13" s="576"/>
      <c r="P13" s="582"/>
      <c r="Q13" s="58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</row>
    <row r="14" spans="1:33" s="41" customFormat="1" ht="13.5" customHeight="1">
      <c r="A14" s="211"/>
      <c r="B14" s="554" t="s">
        <v>161</v>
      </c>
      <c r="C14" s="336">
        <v>0.38541666666666669</v>
      </c>
      <c r="D14" s="337">
        <v>0.42708333333333331</v>
      </c>
      <c r="E14" s="393">
        <v>258</v>
      </c>
      <c r="F14" s="338">
        <v>0.375</v>
      </c>
      <c r="G14" s="339">
        <v>5.5640000000000001</v>
      </c>
      <c r="H14" s="563" t="s">
        <v>147</v>
      </c>
      <c r="I14" s="565">
        <v>0.91200000000000003</v>
      </c>
      <c r="J14" s="563" t="s">
        <v>140</v>
      </c>
      <c r="K14" s="563">
        <v>0.99199999999999999</v>
      </c>
      <c r="L14" s="615">
        <v>3708.7632691809786</v>
      </c>
      <c r="M14" s="612">
        <v>3776.0358231398068</v>
      </c>
      <c r="N14" s="573">
        <v>1167.0118147231099</v>
      </c>
      <c r="O14" s="574">
        <f>+N14*(5/7)+N18*(2/7)</f>
        <v>1124.6259487896129</v>
      </c>
      <c r="P14" s="573">
        <v>2541.7514544578689</v>
      </c>
      <c r="Q14" s="579">
        <f>+P14*5/7+P18*2/7</f>
        <v>2651.4098743501945</v>
      </c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</row>
    <row r="15" spans="1:33" s="41" customFormat="1" ht="13.5" customHeight="1">
      <c r="A15" s="211"/>
      <c r="B15" s="552"/>
      <c r="C15" s="340">
        <v>0.42708333333333331</v>
      </c>
      <c r="D15" s="341">
        <v>0.46875</v>
      </c>
      <c r="E15" s="394">
        <v>225</v>
      </c>
      <c r="F15" s="342">
        <v>0.41666666666666669</v>
      </c>
      <c r="G15" s="343">
        <v>6.1369999999999996</v>
      </c>
      <c r="H15" s="559"/>
      <c r="I15" s="561"/>
      <c r="J15" s="559"/>
      <c r="K15" s="559"/>
      <c r="L15" s="616"/>
      <c r="M15" s="613"/>
      <c r="N15" s="571"/>
      <c r="O15" s="575"/>
      <c r="P15" s="571"/>
      <c r="Q15" s="580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</row>
    <row r="16" spans="1:33" s="41" customFormat="1" ht="13.5" customHeight="1">
      <c r="A16" s="211"/>
      <c r="B16" s="552"/>
      <c r="C16" s="340">
        <v>0.46875</v>
      </c>
      <c r="D16" s="341">
        <v>0.51041666666666663</v>
      </c>
      <c r="E16" s="394">
        <v>235</v>
      </c>
      <c r="F16" s="342">
        <v>0.45833333333333298</v>
      </c>
      <c r="G16" s="343">
        <v>5.7140000000000004</v>
      </c>
      <c r="H16" s="559"/>
      <c r="I16" s="561"/>
      <c r="J16" s="559"/>
      <c r="K16" s="559"/>
      <c r="L16" s="616"/>
      <c r="M16" s="613"/>
      <c r="N16" s="571">
        <v>1167.0118147231099</v>
      </c>
      <c r="O16" s="575"/>
      <c r="P16" s="571"/>
      <c r="Q16" s="580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</row>
    <row r="17" spans="1:33" s="41" customFormat="1" ht="13.5" customHeight="1">
      <c r="A17" s="211"/>
      <c r="B17" s="555"/>
      <c r="C17" s="344">
        <v>0.51041666666666663</v>
      </c>
      <c r="D17" s="345">
        <v>0.55208333333333337</v>
      </c>
      <c r="E17" s="395">
        <v>232</v>
      </c>
      <c r="F17" s="346">
        <v>0.5</v>
      </c>
      <c r="G17" s="347">
        <v>5.7590000000000003</v>
      </c>
      <c r="H17" s="564"/>
      <c r="I17" s="561"/>
      <c r="J17" s="559"/>
      <c r="K17" s="559"/>
      <c r="L17" s="617"/>
      <c r="M17" s="613"/>
      <c r="N17" s="571"/>
      <c r="O17" s="575"/>
      <c r="P17" s="571"/>
      <c r="Q17" s="580"/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</row>
    <row r="18" spans="1:33" s="41" customFormat="1" ht="13.5" customHeight="1">
      <c r="A18" s="211"/>
      <c r="B18" s="551" t="s">
        <v>161</v>
      </c>
      <c r="C18" s="348">
        <v>0.38541666666666669</v>
      </c>
      <c r="D18" s="349">
        <v>0.42708333333333331</v>
      </c>
      <c r="E18" s="394">
        <v>239.66982444587359</v>
      </c>
      <c r="F18" s="350">
        <v>0.375</v>
      </c>
      <c r="G18" s="351">
        <v>6.0609999999999999</v>
      </c>
      <c r="H18" s="566" t="s">
        <v>145</v>
      </c>
      <c r="I18" s="561">
        <v>1.1479999999999999</v>
      </c>
      <c r="J18" s="559"/>
      <c r="K18" s="559"/>
      <c r="L18" s="566">
        <v>3944.2172080368778</v>
      </c>
      <c r="M18" s="613"/>
      <c r="N18" s="571">
        <v>1018.6612839558708</v>
      </c>
      <c r="O18" s="575"/>
      <c r="P18" s="571">
        <v>2925.5559240810071</v>
      </c>
      <c r="Q18" s="580"/>
      <c r="W18" s="211"/>
      <c r="X18" s="211"/>
      <c r="Y18" s="211"/>
      <c r="Z18" s="211"/>
      <c r="AA18" s="211"/>
      <c r="AB18" s="211"/>
      <c r="AC18" s="211"/>
      <c r="AD18" s="211"/>
      <c r="AE18" s="211"/>
      <c r="AF18" s="211"/>
      <c r="AG18" s="211"/>
    </row>
    <row r="19" spans="1:33" s="41" customFormat="1" ht="13.5" customHeight="1">
      <c r="A19" s="211"/>
      <c r="B19" s="552"/>
      <c r="C19" s="340">
        <v>0.42708333333333331</v>
      </c>
      <c r="D19" s="341">
        <v>0.46875</v>
      </c>
      <c r="E19" s="394">
        <v>209.91890259630634</v>
      </c>
      <c r="F19" s="342">
        <v>0.41666666666666669</v>
      </c>
      <c r="G19" s="343">
        <v>6.92</v>
      </c>
      <c r="H19" s="566"/>
      <c r="I19" s="561"/>
      <c r="J19" s="559"/>
      <c r="K19" s="559"/>
      <c r="L19" s="566"/>
      <c r="M19" s="613"/>
      <c r="N19" s="571"/>
      <c r="O19" s="575"/>
      <c r="P19" s="571"/>
      <c r="Q19" s="580"/>
      <c r="W19" s="211"/>
      <c r="X19" s="211"/>
      <c r="Y19" s="211"/>
      <c r="Z19" s="211"/>
      <c r="AA19" s="211"/>
      <c r="AB19" s="211"/>
      <c r="AC19" s="211"/>
      <c r="AD19" s="211"/>
      <c r="AE19" s="211"/>
      <c r="AF19" s="211"/>
      <c r="AG19" s="211"/>
    </row>
    <row r="20" spans="1:33" s="41" customFormat="1" ht="13.5" customHeight="1">
      <c r="A20" s="211"/>
      <c r="B20" s="552"/>
      <c r="C20" s="340">
        <v>0.46875</v>
      </c>
      <c r="D20" s="341">
        <v>0.51041666666666663</v>
      </c>
      <c r="E20" s="394">
        <v>229.48732034369345</v>
      </c>
      <c r="F20" s="342">
        <v>0.45833333333333298</v>
      </c>
      <c r="G20" s="343">
        <v>6.92</v>
      </c>
      <c r="H20" s="566"/>
      <c r="I20" s="561"/>
      <c r="J20" s="559"/>
      <c r="K20" s="559"/>
      <c r="L20" s="566"/>
      <c r="M20" s="613"/>
      <c r="N20" s="571"/>
      <c r="O20" s="575"/>
      <c r="P20" s="571"/>
      <c r="Q20" s="580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</row>
    <row r="21" spans="1:33" s="41" customFormat="1" ht="13.5" customHeight="1" thickBot="1">
      <c r="A21" s="211"/>
      <c r="B21" s="553"/>
      <c r="C21" s="340">
        <v>0.51041666666666663</v>
      </c>
      <c r="D21" s="341">
        <v>0.55208333333333337</v>
      </c>
      <c r="E21" s="394">
        <v>239.66982444587359</v>
      </c>
      <c r="F21" s="342">
        <v>0.5</v>
      </c>
      <c r="G21" s="343">
        <v>6.6260000000000003</v>
      </c>
      <c r="H21" s="567"/>
      <c r="I21" s="558"/>
      <c r="J21" s="559"/>
      <c r="K21" s="559"/>
      <c r="L21" s="567"/>
      <c r="M21" s="614"/>
      <c r="N21" s="582"/>
      <c r="O21" s="575"/>
      <c r="P21" s="582"/>
      <c r="Q21" s="58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</row>
    <row r="22" spans="1:33" s="41" customFormat="1" ht="13.5" customHeight="1">
      <c r="A22" s="211"/>
      <c r="B22" s="554" t="s">
        <v>160</v>
      </c>
      <c r="C22" s="336">
        <v>0.36388888888888887</v>
      </c>
      <c r="D22" s="337">
        <v>0.44722222222222219</v>
      </c>
      <c r="E22" s="393">
        <v>604</v>
      </c>
      <c r="F22" s="338">
        <v>0.375</v>
      </c>
      <c r="G22" s="339">
        <v>11.701000000000001</v>
      </c>
      <c r="H22" s="563" t="s">
        <v>147</v>
      </c>
      <c r="I22" s="565">
        <v>0.91200000000000003</v>
      </c>
      <c r="J22" s="563" t="s">
        <v>140</v>
      </c>
      <c r="K22" s="563">
        <v>0.99199999999999999</v>
      </c>
      <c r="L22" s="569">
        <v>5340.6191076206087</v>
      </c>
      <c r="M22" s="612">
        <v>5443.911471235815</v>
      </c>
      <c r="N22" s="590">
        <v>1591.8860954467527</v>
      </c>
      <c r="O22" s="574">
        <f>+N22*(5/7)+N25*(2/7)</f>
        <v>1532.3763396761233</v>
      </c>
      <c r="P22" s="592">
        <v>3748.733012173856</v>
      </c>
      <c r="Q22" s="579">
        <f>+P22*5/7+P25*2/7</f>
        <v>3911.5351315596918</v>
      </c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</row>
    <row r="23" spans="1:33" s="41" customFormat="1" ht="13.5" customHeight="1">
      <c r="A23" s="211"/>
      <c r="B23" s="552"/>
      <c r="C23" s="340">
        <v>0.44722222222222219</v>
      </c>
      <c r="D23" s="341">
        <v>0.48888888888888887</v>
      </c>
      <c r="E23" s="394">
        <v>412</v>
      </c>
      <c r="F23" s="342">
        <v>0.45833333333333331</v>
      </c>
      <c r="G23" s="343">
        <v>5.7140000000000004</v>
      </c>
      <c r="H23" s="559"/>
      <c r="I23" s="561"/>
      <c r="J23" s="559"/>
      <c r="K23" s="559"/>
      <c r="L23" s="566"/>
      <c r="M23" s="613"/>
      <c r="N23" s="585"/>
      <c r="O23" s="575"/>
      <c r="P23" s="588"/>
      <c r="Q23" s="580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</row>
    <row r="24" spans="1:33" s="41" customFormat="1" ht="13.5" customHeight="1">
      <c r="A24" s="211"/>
      <c r="B24" s="555"/>
      <c r="C24" s="344">
        <v>0.48888888888888887</v>
      </c>
      <c r="D24" s="345">
        <v>0.53055555555555556</v>
      </c>
      <c r="E24" s="395">
        <v>352</v>
      </c>
      <c r="F24" s="346">
        <v>0.5</v>
      </c>
      <c r="G24" s="347">
        <v>5.7590000000000003</v>
      </c>
      <c r="H24" s="564"/>
      <c r="I24" s="561"/>
      <c r="J24" s="559"/>
      <c r="K24" s="559"/>
      <c r="L24" s="566"/>
      <c r="M24" s="613"/>
      <c r="N24" s="591"/>
      <c r="O24" s="575"/>
      <c r="P24" s="593"/>
      <c r="Q24" s="580"/>
      <c r="W24" s="211"/>
      <c r="X24" s="211"/>
      <c r="Y24" s="211"/>
      <c r="Z24" s="211"/>
      <c r="AA24" s="211"/>
      <c r="AB24" s="211"/>
      <c r="AC24" s="211"/>
      <c r="AD24" s="211"/>
      <c r="AE24" s="211"/>
      <c r="AF24" s="211"/>
      <c r="AG24" s="211"/>
    </row>
    <row r="25" spans="1:33" s="41" customFormat="1" ht="13.5" customHeight="1">
      <c r="A25" s="211"/>
      <c r="B25" s="551" t="s">
        <v>160</v>
      </c>
      <c r="C25" s="348">
        <v>0.36388888888888887</v>
      </c>
      <c r="D25" s="349">
        <v>0.44722222222222219</v>
      </c>
      <c r="E25" s="394">
        <v>649.96900498706214</v>
      </c>
      <c r="F25" s="350">
        <v>0.375</v>
      </c>
      <c r="G25" s="351">
        <v>12.981</v>
      </c>
      <c r="H25" s="558" t="s">
        <v>145</v>
      </c>
      <c r="I25" s="561">
        <v>1.1479999999999999</v>
      </c>
      <c r="J25" s="559"/>
      <c r="K25" s="559"/>
      <c r="L25" s="556">
        <v>5702.1423802738309</v>
      </c>
      <c r="M25" s="613"/>
      <c r="N25" s="582">
        <v>1383.6019502495492</v>
      </c>
      <c r="O25" s="575"/>
      <c r="P25" s="587">
        <v>4318.5404300242817</v>
      </c>
      <c r="Q25" s="580"/>
      <c r="W25" s="211"/>
      <c r="X25" s="211"/>
      <c r="Y25" s="211"/>
      <c r="Z25" s="211"/>
      <c r="AA25" s="211"/>
      <c r="AB25" s="211"/>
      <c r="AC25" s="211"/>
      <c r="AD25" s="211"/>
      <c r="AE25" s="211"/>
      <c r="AF25" s="211"/>
      <c r="AG25" s="211"/>
    </row>
    <row r="26" spans="1:33" s="41" customFormat="1" ht="13.5" customHeight="1">
      <c r="A26" s="211"/>
      <c r="B26" s="552"/>
      <c r="C26" s="340">
        <v>0.44722222222222219</v>
      </c>
      <c r="D26" s="341">
        <v>0.48888888888888887</v>
      </c>
      <c r="E26" s="394">
        <v>367.36943144519483</v>
      </c>
      <c r="F26" s="342">
        <v>0.45833333333333331</v>
      </c>
      <c r="G26" s="343">
        <v>7.3369999999999997</v>
      </c>
      <c r="H26" s="559"/>
      <c r="I26" s="561"/>
      <c r="J26" s="559"/>
      <c r="K26" s="559"/>
      <c r="L26" s="556"/>
      <c r="M26" s="613"/>
      <c r="N26" s="585"/>
      <c r="O26" s="575"/>
      <c r="P26" s="588"/>
      <c r="Q26" s="580"/>
      <c r="W26" s="211"/>
      <c r="X26" s="211"/>
      <c r="Y26" s="211"/>
      <c r="Z26" s="211"/>
      <c r="AA26" s="211"/>
      <c r="AB26" s="211"/>
      <c r="AC26" s="211"/>
      <c r="AD26" s="211"/>
      <c r="AE26" s="211"/>
      <c r="AF26" s="211"/>
      <c r="AG26" s="211"/>
    </row>
    <row r="27" spans="1:33" s="41" customFormat="1" ht="13.5" customHeight="1" thickBot="1">
      <c r="A27" s="211"/>
      <c r="B27" s="553"/>
      <c r="C27" s="352">
        <v>0.48888888888888887</v>
      </c>
      <c r="D27" s="353">
        <v>0.53055555555555556</v>
      </c>
      <c r="E27" s="356">
        <v>331.76909537356704</v>
      </c>
      <c r="F27" s="354">
        <v>0.5</v>
      </c>
      <c r="G27" s="355">
        <v>6.6260000000000003</v>
      </c>
      <c r="H27" s="560"/>
      <c r="I27" s="562"/>
      <c r="J27" s="560"/>
      <c r="K27" s="560"/>
      <c r="L27" s="557"/>
      <c r="M27" s="614"/>
      <c r="N27" s="586"/>
      <c r="O27" s="576"/>
      <c r="P27" s="589"/>
      <c r="Q27" s="581"/>
      <c r="W27" s="211"/>
      <c r="X27" s="211"/>
      <c r="Y27" s="211"/>
      <c r="Z27" s="211"/>
      <c r="AA27" s="211"/>
      <c r="AB27" s="211"/>
      <c r="AC27" s="211"/>
      <c r="AD27" s="211"/>
      <c r="AE27" s="211"/>
      <c r="AF27" s="211"/>
      <c r="AG27" s="211"/>
    </row>
    <row r="28" spans="1:33">
      <c r="G28" s="466"/>
      <c r="H28" s="466"/>
      <c r="I28" s="466"/>
      <c r="J28" s="466"/>
      <c r="K28" s="466"/>
      <c r="L28" s="466"/>
      <c r="N28" s="264"/>
      <c r="P28" s="264"/>
      <c r="Q28" s="264"/>
      <c r="S28" s="210"/>
      <c r="T28" s="210"/>
      <c r="V28" s="264"/>
      <c r="AE28" s="211"/>
      <c r="AF28" s="211"/>
      <c r="AG28" s="211"/>
    </row>
    <row r="29" spans="1:33">
      <c r="D29" s="268"/>
      <c r="E29" s="268"/>
      <c r="G29" s="211"/>
      <c r="H29" s="211"/>
      <c r="M29" s="262"/>
      <c r="AE29" s="211"/>
      <c r="AF29" s="211"/>
      <c r="AG29" s="211"/>
    </row>
    <row r="30" spans="1:33" ht="22.5" customHeight="1">
      <c r="C30" s="186"/>
      <c r="D30" s="186"/>
      <c r="E30" s="211"/>
      <c r="F30" s="211"/>
      <c r="G30" s="211"/>
      <c r="H30" s="211"/>
      <c r="M30" s="465"/>
      <c r="N30" s="465"/>
      <c r="O30" s="465"/>
      <c r="P30" s="465"/>
      <c r="Q30" s="465"/>
      <c r="R30" s="465"/>
      <c r="S30" s="465"/>
      <c r="T30" s="465"/>
      <c r="U30" s="465"/>
      <c r="V30" s="465"/>
      <c r="W30" s="465"/>
      <c r="X30" s="465"/>
      <c r="Y30" s="465"/>
      <c r="Z30" s="465"/>
      <c r="AA30" s="214"/>
      <c r="AB30" s="214"/>
      <c r="AC30"/>
      <c r="AD30"/>
    </row>
    <row r="31" spans="1:33" ht="22.5" customHeight="1">
      <c r="B31" s="232"/>
      <c r="C31" s="186"/>
      <c r="D31" s="186"/>
      <c r="E31" s="211"/>
      <c r="F31" s="211"/>
      <c r="G31" s="211"/>
      <c r="H31" s="211"/>
      <c r="M31" s="465"/>
      <c r="N31" s="465"/>
      <c r="O31" s="465"/>
      <c r="P31" s="465"/>
      <c r="Q31" s="465"/>
      <c r="R31" s="465"/>
      <c r="S31" s="465"/>
      <c r="T31" s="465"/>
      <c r="U31" s="465"/>
      <c r="V31" s="465"/>
      <c r="W31" s="465"/>
      <c r="X31" s="465"/>
      <c r="Y31" s="465"/>
      <c r="Z31" s="465"/>
      <c r="AA31" s="214"/>
      <c r="AB31" s="583" t="s">
        <v>279</v>
      </c>
      <c r="AC31" s="583"/>
      <c r="AD31" s="583"/>
      <c r="AE31" s="583"/>
      <c r="AF31" s="583"/>
      <c r="AG31" s="583"/>
    </row>
    <row r="32" spans="1:33" ht="22.5" customHeight="1">
      <c r="B32" s="232"/>
      <c r="C32" s="186"/>
      <c r="D32" s="186"/>
      <c r="E32" s="211"/>
      <c r="F32" s="211"/>
      <c r="G32" s="211"/>
      <c r="H32" s="211"/>
      <c r="M32" s="465"/>
      <c r="N32" s="465"/>
      <c r="O32" s="465"/>
      <c r="P32" s="465"/>
      <c r="Q32" s="465"/>
      <c r="R32" s="465"/>
      <c r="S32" s="465"/>
      <c r="T32" s="465"/>
      <c r="U32" s="465"/>
      <c r="V32" s="465"/>
      <c r="W32" s="465"/>
      <c r="X32" s="465"/>
      <c r="Y32" s="465"/>
      <c r="Z32" s="465"/>
      <c r="AA32" s="324" t="s">
        <v>249</v>
      </c>
      <c r="AB32" s="463" t="s">
        <v>250</v>
      </c>
      <c r="AC32" s="463" t="s">
        <v>251</v>
      </c>
      <c r="AD32" s="462" t="s">
        <v>253</v>
      </c>
    </row>
    <row r="33" spans="1:38">
      <c r="B33" s="232" t="s">
        <v>170</v>
      </c>
      <c r="C33" s="186"/>
      <c r="D33" s="186"/>
      <c r="E33" s="211"/>
      <c r="F33" s="211"/>
      <c r="G33" s="211"/>
      <c r="H33" s="211"/>
      <c r="M33" s="465"/>
      <c r="N33" s="465"/>
      <c r="O33" s="465"/>
      <c r="P33" s="465"/>
      <c r="Q33" s="465"/>
      <c r="R33" s="465"/>
      <c r="S33" s="465"/>
      <c r="T33" s="465"/>
      <c r="U33" s="465"/>
      <c r="V33" s="465"/>
      <c r="W33" s="465"/>
      <c r="X33" s="465"/>
      <c r="Y33" s="465"/>
      <c r="Z33" s="465"/>
      <c r="AA33" s="324" t="s">
        <v>3</v>
      </c>
      <c r="AB33" s="464">
        <v>1710</v>
      </c>
      <c r="AC33" s="464">
        <f>+AD33-AB33</f>
        <v>2512</v>
      </c>
      <c r="AD33" s="464">
        <v>4222</v>
      </c>
    </row>
    <row r="34" spans="1:38" ht="60">
      <c r="B34" s="383" t="s">
        <v>302</v>
      </c>
      <c r="C34" s="335" t="s">
        <v>300</v>
      </c>
      <c r="D34" s="335" t="s">
        <v>299</v>
      </c>
      <c r="E34" s="335" t="s">
        <v>301</v>
      </c>
      <c r="G34" s="211"/>
      <c r="H34" s="211"/>
      <c r="M34" s="465"/>
      <c r="N34" s="465"/>
      <c r="O34" s="465"/>
      <c r="P34" s="465"/>
      <c r="Q34" s="465"/>
      <c r="R34" s="465"/>
      <c r="S34" s="465"/>
      <c r="T34" s="465"/>
      <c r="U34" s="465"/>
      <c r="V34" s="465"/>
      <c r="W34" s="465"/>
      <c r="X34" s="465"/>
      <c r="Y34" s="465"/>
      <c r="Z34" s="465"/>
      <c r="AA34" s="324" t="s">
        <v>252</v>
      </c>
      <c r="AB34" s="323">
        <f>+AB33/AD33</f>
        <v>0.40502131691141641</v>
      </c>
      <c r="AC34" s="323">
        <f>+AC33/AD33</f>
        <v>0.59497868308858359</v>
      </c>
      <c r="AD34" s="323">
        <f>+AC34+AB34</f>
        <v>1</v>
      </c>
    </row>
    <row r="35" spans="1:38" ht="22.5" customHeight="1">
      <c r="B35" s="190" t="s">
        <v>196</v>
      </c>
      <c r="C35" s="216">
        <v>3035.762083157259</v>
      </c>
      <c r="D35" s="216">
        <v>777.73120632157566</v>
      </c>
      <c r="E35" s="216">
        <v>3813.4932894788344</v>
      </c>
      <c r="G35" s="432"/>
      <c r="H35" s="432"/>
      <c r="I35" s="432"/>
      <c r="K35" s="262"/>
      <c r="L35" s="260"/>
      <c r="M35" s="260"/>
      <c r="Y35" s="465"/>
      <c r="Z35" s="465"/>
      <c r="AA35" s="214"/>
      <c r="AB35" s="214"/>
      <c r="AC35"/>
      <c r="AD35"/>
    </row>
    <row r="36" spans="1:38" ht="22.5" customHeight="1">
      <c r="B36" s="190" t="s">
        <v>198</v>
      </c>
      <c r="C36" s="216">
        <v>2512</v>
      </c>
      <c r="D36" s="216">
        <v>1710</v>
      </c>
      <c r="E36" s="216">
        <v>4222</v>
      </c>
      <c r="G36" s="432"/>
      <c r="H36" s="432"/>
      <c r="I36" s="432"/>
      <c r="K36" s="262"/>
      <c r="L36" s="260"/>
      <c r="M36" s="260"/>
      <c r="Y36" s="465"/>
      <c r="Z36" s="465"/>
    </row>
    <row r="37" spans="1:38" ht="24.75" customHeight="1">
      <c r="B37" s="190" t="s">
        <v>197</v>
      </c>
      <c r="C37" s="216">
        <v>3911.5351315596918</v>
      </c>
      <c r="D37" s="216">
        <v>1532.3763396761233</v>
      </c>
      <c r="E37" s="216">
        <v>5443.911471235815</v>
      </c>
      <c r="G37" s="432"/>
      <c r="H37" s="432"/>
      <c r="I37" s="432"/>
      <c r="AB37" s="213"/>
      <c r="AC37" s="214"/>
      <c r="AD37" s="214"/>
      <c r="AE37" s="505" t="s">
        <v>3</v>
      </c>
      <c r="AF37" s="638"/>
      <c r="AG37" s="584" t="s">
        <v>243</v>
      </c>
    </row>
    <row r="38" spans="1:38">
      <c r="C38" s="180"/>
      <c r="K38" s="210"/>
      <c r="L38" s="210"/>
      <c r="M38" s="210"/>
      <c r="AB38" s="462" t="s">
        <v>168</v>
      </c>
      <c r="AC38" s="462" t="s">
        <v>164</v>
      </c>
      <c r="AD38" s="462" t="s">
        <v>163</v>
      </c>
      <c r="AE38" s="188" t="s">
        <v>8</v>
      </c>
      <c r="AF38" s="188" t="s">
        <v>7</v>
      </c>
      <c r="AG38" s="639"/>
    </row>
    <row r="39" spans="1:38" ht="24" customHeight="1">
      <c r="C39" s="618" t="s">
        <v>264</v>
      </c>
      <c r="D39" s="550" t="s">
        <v>200</v>
      </c>
      <c r="E39" s="550"/>
      <c r="F39" s="550"/>
      <c r="G39" s="550"/>
      <c r="H39" s="550" t="s">
        <v>201</v>
      </c>
      <c r="I39" s="550"/>
      <c r="J39" s="550"/>
      <c r="K39" s="550"/>
      <c r="L39" s="608" t="s">
        <v>280</v>
      </c>
      <c r="O39" s="263"/>
      <c r="Y39" s="212"/>
      <c r="AB39" s="170" t="s">
        <v>242</v>
      </c>
      <c r="AC39" s="464" t="s">
        <v>169</v>
      </c>
      <c r="AD39" s="464">
        <v>2023</v>
      </c>
      <c r="AE39" s="191">
        <f>+'RN12'!$AF$4</f>
        <v>4400</v>
      </c>
      <c r="AF39" s="464"/>
      <c r="AG39" s="323">
        <f>+'Clasificacion DNV'!$AB$3/100</f>
        <v>0.37199999999999994</v>
      </c>
    </row>
    <row r="40" spans="1:38" ht="48" customHeight="1" thickBot="1">
      <c r="A40" s="467"/>
      <c r="B40" s="467"/>
      <c r="C40" s="618"/>
      <c r="D40" s="335" t="s">
        <v>259</v>
      </c>
      <c r="E40" s="335" t="s">
        <v>304</v>
      </c>
      <c r="F40" s="335" t="s">
        <v>303</v>
      </c>
      <c r="G40" s="335" t="s">
        <v>305</v>
      </c>
      <c r="H40" s="335" t="s">
        <v>259</v>
      </c>
      <c r="I40" s="335" t="s">
        <v>306</v>
      </c>
      <c r="J40" s="335" t="s">
        <v>303</v>
      </c>
      <c r="K40" s="335" t="s">
        <v>305</v>
      </c>
      <c r="L40" s="608"/>
      <c r="Y40" s="212"/>
      <c r="AB40" s="170" t="s">
        <v>241</v>
      </c>
      <c r="AC40" s="464" t="s">
        <v>169</v>
      </c>
      <c r="AD40" s="464">
        <v>2023</v>
      </c>
      <c r="AE40" s="464"/>
      <c r="AF40" s="191">
        <f>+'RN12'!$AF$5</f>
        <v>3251</v>
      </c>
      <c r="AG40" s="323">
        <f>+'Clasificacion DNV'!$AB$4/100</f>
        <v>0.24099999999999999</v>
      </c>
    </row>
    <row r="41" spans="1:38" ht="20.100000000000001" customHeight="1">
      <c r="A41" s="467"/>
      <c r="B41" s="467"/>
      <c r="C41" s="618"/>
      <c r="D41" s="216" t="s">
        <v>202</v>
      </c>
      <c r="E41" s="216">
        <f>+C36</f>
        <v>2512</v>
      </c>
      <c r="F41" s="377">
        <v>0.2</v>
      </c>
      <c r="G41" s="216">
        <f>+E41*F41</f>
        <v>502.40000000000003</v>
      </c>
      <c r="H41" s="216" t="s">
        <v>202</v>
      </c>
      <c r="I41" s="216">
        <f>+D36</f>
        <v>1710</v>
      </c>
      <c r="J41" s="377">
        <v>0.7</v>
      </c>
      <c r="K41" s="216">
        <f>+I41*J41</f>
        <v>1197</v>
      </c>
      <c r="L41" s="607">
        <f>+G43+K43</f>
        <v>2625.1404760714649</v>
      </c>
      <c r="P41" s="601" t="s">
        <v>221</v>
      </c>
      <c r="Q41" s="602"/>
      <c r="R41" s="602"/>
      <c r="S41" s="602"/>
      <c r="T41" s="603"/>
      <c r="U41" s="595" t="s">
        <v>222</v>
      </c>
      <c r="V41" s="596"/>
      <c r="W41" s="596"/>
      <c r="X41" s="596"/>
      <c r="Y41" s="596"/>
      <c r="Z41" s="597"/>
    </row>
    <row r="42" spans="1:38" ht="43.5" thickBot="1">
      <c r="A42" s="467"/>
      <c r="B42" s="467"/>
      <c r="C42" s="618"/>
      <c r="D42" s="387" t="s">
        <v>318</v>
      </c>
      <c r="E42" s="216">
        <f>+C35+C37</f>
        <v>6947.2972147169512</v>
      </c>
      <c r="F42" s="377">
        <v>0.1</v>
      </c>
      <c r="G42" s="216">
        <f t="shared" ref="G42" si="0">+E42*F42</f>
        <v>694.72972147169514</v>
      </c>
      <c r="H42" s="216" t="s">
        <v>203</v>
      </c>
      <c r="I42" s="216">
        <f>+D35+D37</f>
        <v>2310.1075459976992</v>
      </c>
      <c r="J42" s="377">
        <v>0.1</v>
      </c>
      <c r="K42" s="216">
        <f t="shared" ref="K42" si="1">+I42*J42</f>
        <v>231.01075459976994</v>
      </c>
      <c r="L42" s="607"/>
      <c r="P42" s="604"/>
      <c r="Q42" s="605"/>
      <c r="R42" s="605"/>
      <c r="S42" s="605"/>
      <c r="T42" s="606"/>
      <c r="U42" s="598"/>
      <c r="V42" s="599"/>
      <c r="W42" s="599"/>
      <c r="X42" s="599"/>
      <c r="Y42" s="599"/>
      <c r="Z42" s="600"/>
      <c r="AB42" s="505" t="s">
        <v>256</v>
      </c>
      <c r="AC42" s="568"/>
      <c r="AD42" s="208">
        <f>+O22+O6</f>
        <v>2310.1075459976992</v>
      </c>
      <c r="AE42" s="357">
        <f>+AE43+AE44</f>
        <v>1</v>
      </c>
      <c r="AK42" s="179"/>
      <c r="AL42" s="179"/>
    </row>
    <row r="43" spans="1:38" ht="28.5" customHeight="1">
      <c r="A43" s="467"/>
      <c r="B43" s="467"/>
      <c r="E43" s="504" t="s">
        <v>269</v>
      </c>
      <c r="F43" s="504"/>
      <c r="G43" s="216">
        <f>+SUM(G41:G42)</f>
        <v>1197.1297214716951</v>
      </c>
      <c r="H43" s="504" t="s">
        <v>268</v>
      </c>
      <c r="I43" s="504"/>
      <c r="J43" s="504"/>
      <c r="K43" s="216">
        <f>+SUM(K41:K42)</f>
        <v>1428.0107545997698</v>
      </c>
      <c r="L43" s="607"/>
      <c r="O43" s="411" t="s">
        <v>15</v>
      </c>
      <c r="P43" s="410" t="s">
        <v>287</v>
      </c>
      <c r="Q43" s="407" t="s">
        <v>286</v>
      </c>
      <c r="R43" s="407" t="s">
        <v>288</v>
      </c>
      <c r="S43" s="407" t="s">
        <v>289</v>
      </c>
      <c r="T43" s="409" t="s">
        <v>290</v>
      </c>
      <c r="U43" s="408">
        <v>0</v>
      </c>
      <c r="V43" s="407" t="s">
        <v>298</v>
      </c>
      <c r="W43" s="407" t="s">
        <v>297</v>
      </c>
      <c r="X43" s="407" t="s">
        <v>288</v>
      </c>
      <c r="Y43" s="407" t="s">
        <v>289</v>
      </c>
      <c r="Z43" s="409" t="s">
        <v>290</v>
      </c>
      <c r="AB43" s="577" t="s">
        <v>257</v>
      </c>
      <c r="AC43" s="578"/>
      <c r="AD43" s="216">
        <f>+AD42*AE43</f>
        <v>693.0322637993097</v>
      </c>
      <c r="AE43" s="222">
        <f>+ROUND(O6/AD42,1)</f>
        <v>0.3</v>
      </c>
      <c r="AK43" s="179"/>
      <c r="AL43" s="179"/>
    </row>
    <row r="44" spans="1:38" ht="33.75" customHeight="1">
      <c r="A44" s="467"/>
      <c r="B44" s="467"/>
      <c r="D44" s="179"/>
      <c r="E44" s="179"/>
      <c r="F44" s="382"/>
      <c r="G44" s="220"/>
      <c r="J44" s="382"/>
      <c r="K44" s="220"/>
      <c r="O44" s="412" t="s">
        <v>292</v>
      </c>
      <c r="P44" s="310" t="s">
        <v>296</v>
      </c>
      <c r="Q44" s="404">
        <v>3813.4932894788344</v>
      </c>
      <c r="R44" s="423">
        <v>0.2046583525229872</v>
      </c>
      <c r="S44" s="424">
        <v>777.73120632157566</v>
      </c>
      <c r="T44" s="425">
        <v>3035.762083157259</v>
      </c>
      <c r="U44" s="414">
        <v>2023</v>
      </c>
      <c r="V44" s="403" t="s">
        <v>236</v>
      </c>
      <c r="W44" s="403">
        <v>3251</v>
      </c>
      <c r="X44" s="405">
        <v>0.24099999999999999</v>
      </c>
      <c r="Y44" s="166">
        <v>783.49099999999999</v>
      </c>
      <c r="Z44" s="415">
        <v>2467.509</v>
      </c>
      <c r="AB44" s="577" t="s">
        <v>258</v>
      </c>
      <c r="AC44" s="578"/>
      <c r="AD44" s="216">
        <f>+AD42*AE44</f>
        <v>1617.0752821983892</v>
      </c>
      <c r="AE44" s="222">
        <f>ROUND(O22/AD42,1)</f>
        <v>0.7</v>
      </c>
      <c r="AK44" s="179"/>
      <c r="AL44" s="179"/>
    </row>
    <row r="45" spans="1:38" ht="36" customHeight="1">
      <c r="A45" s="467"/>
      <c r="B45" s="467"/>
      <c r="D45" s="179"/>
      <c r="E45" s="179"/>
      <c r="F45" s="382"/>
      <c r="G45" s="220"/>
      <c r="J45" s="382"/>
      <c r="K45" s="220"/>
      <c r="O45" s="412" t="s">
        <v>293</v>
      </c>
      <c r="P45" s="310" t="s">
        <v>294</v>
      </c>
      <c r="Q45" s="166">
        <v>3776.0358231398068</v>
      </c>
      <c r="R45" s="406">
        <v>0.29855010562111473</v>
      </c>
      <c r="S45" s="166">
        <v>1124.6259487896129</v>
      </c>
      <c r="T45" s="415">
        <v>2651.4098743501945</v>
      </c>
      <c r="U45" s="429">
        <v>2019</v>
      </c>
      <c r="V45" s="422">
        <v>4222</v>
      </c>
      <c r="W45" s="430" t="s">
        <v>236</v>
      </c>
      <c r="X45" s="431">
        <v>0.40502131691141641</v>
      </c>
      <c r="Y45" s="424">
        <v>1710</v>
      </c>
      <c r="Z45" s="425">
        <v>2512</v>
      </c>
      <c r="AK45" s="179"/>
      <c r="AL45" s="179"/>
    </row>
    <row r="46" spans="1:38" ht="37.5" customHeight="1" thickBot="1">
      <c r="A46" s="467"/>
      <c r="B46" s="467"/>
      <c r="C46" s="618" t="s">
        <v>263</v>
      </c>
      <c r="D46" s="619" t="s">
        <v>200</v>
      </c>
      <c r="E46" s="620"/>
      <c r="F46" s="620"/>
      <c r="G46" s="621"/>
      <c r="H46" s="550" t="s">
        <v>201</v>
      </c>
      <c r="I46" s="550"/>
      <c r="J46" s="550"/>
      <c r="K46" s="550"/>
      <c r="L46" s="608" t="s">
        <v>280</v>
      </c>
      <c r="O46" s="413" t="s">
        <v>291</v>
      </c>
      <c r="P46" s="195" t="s">
        <v>295</v>
      </c>
      <c r="Q46" s="416">
        <v>5443.911471235815</v>
      </c>
      <c r="R46" s="426">
        <v>0.28223560453682428</v>
      </c>
      <c r="S46" s="427">
        <v>1532.3763396761233</v>
      </c>
      <c r="T46" s="428">
        <v>3911.5351315596918</v>
      </c>
      <c r="U46" s="417">
        <v>2023</v>
      </c>
      <c r="V46" s="418">
        <v>4400</v>
      </c>
      <c r="W46" s="418" t="s">
        <v>236</v>
      </c>
      <c r="X46" s="419">
        <v>0.37199999999999994</v>
      </c>
      <c r="Y46" s="420">
        <v>1636.7999999999997</v>
      </c>
      <c r="Z46" s="421">
        <v>2763.2000000000003</v>
      </c>
    </row>
    <row r="47" spans="1:38" ht="57" customHeight="1">
      <c r="A47" s="467"/>
      <c r="B47" s="467"/>
      <c r="C47" s="618"/>
      <c r="D47" s="335" t="s">
        <v>259</v>
      </c>
      <c r="E47" s="335" t="s">
        <v>304</v>
      </c>
      <c r="F47" s="335" t="s">
        <v>303</v>
      </c>
      <c r="G47" s="335" t="s">
        <v>305</v>
      </c>
      <c r="H47" s="335" t="s">
        <v>259</v>
      </c>
      <c r="I47" s="335" t="s">
        <v>306</v>
      </c>
      <c r="J47" s="335" t="s">
        <v>303</v>
      </c>
      <c r="K47" s="335" t="s">
        <v>305</v>
      </c>
      <c r="L47" s="608"/>
      <c r="P47" s="213"/>
      <c r="Q47" s="213"/>
      <c r="R47" s="213"/>
      <c r="S47" s="213"/>
      <c r="T47" s="213"/>
      <c r="U47"/>
      <c r="V47"/>
      <c r="W47"/>
      <c r="X47"/>
      <c r="Y47"/>
      <c r="Z47"/>
    </row>
    <row r="48" spans="1:38" ht="20.25" customHeight="1">
      <c r="A48" s="467"/>
      <c r="B48" s="467"/>
      <c r="C48" s="618"/>
      <c r="D48" s="216" t="s">
        <v>202</v>
      </c>
      <c r="E48" s="216">
        <f>+C36</f>
        <v>2512</v>
      </c>
      <c r="F48" s="377">
        <v>0.2</v>
      </c>
      <c r="G48" s="216">
        <f>+E48*F48</f>
        <v>502.40000000000003</v>
      </c>
      <c r="H48" s="216" t="s">
        <v>202</v>
      </c>
      <c r="I48" s="216">
        <f>+D36</f>
        <v>1710</v>
      </c>
      <c r="J48" s="377">
        <v>0.3</v>
      </c>
      <c r="K48" s="216">
        <f>+I48*J48</f>
        <v>513</v>
      </c>
      <c r="L48" s="607">
        <f>+G50+K50</f>
        <v>1941.1404760714649</v>
      </c>
      <c r="Y48" s="212"/>
    </row>
    <row r="49" spans="1:38" ht="42.75">
      <c r="A49" s="467"/>
      <c r="B49" s="467"/>
      <c r="C49" s="618"/>
      <c r="D49" s="387" t="s">
        <v>318</v>
      </c>
      <c r="E49" s="216">
        <f>+C37+C35</f>
        <v>6947.2972147169512</v>
      </c>
      <c r="F49" s="377">
        <v>0.1</v>
      </c>
      <c r="G49" s="392">
        <f>+E49*F49</f>
        <v>694.72972147169514</v>
      </c>
      <c r="H49" s="216" t="s">
        <v>204</v>
      </c>
      <c r="I49" s="216">
        <f>+D37+D35</f>
        <v>2310.1075459976992</v>
      </c>
      <c r="J49" s="377">
        <v>0.1</v>
      </c>
      <c r="K49" s="216">
        <f>+I49*J49</f>
        <v>231.01075459976994</v>
      </c>
      <c r="L49" s="607"/>
      <c r="Y49" s="212"/>
    </row>
    <row r="50" spans="1:38" ht="20.25" customHeight="1">
      <c r="A50" s="467"/>
      <c r="B50" s="467"/>
      <c r="E50" s="504" t="s">
        <v>269</v>
      </c>
      <c r="F50" s="504"/>
      <c r="G50" s="216">
        <f>+SUM(G48:G49)</f>
        <v>1197.1297214716951</v>
      </c>
      <c r="H50" s="504" t="s">
        <v>268</v>
      </c>
      <c r="I50" s="504"/>
      <c r="J50" s="504"/>
      <c r="K50" s="216">
        <f>+SUM(K48:K49)</f>
        <v>744.01075459976994</v>
      </c>
      <c r="L50" s="607"/>
      <c r="AK50" s="179"/>
      <c r="AL50" s="179"/>
    </row>
    <row r="51" spans="1:38" ht="18" customHeight="1">
      <c r="AK51" s="179"/>
      <c r="AL51" s="179"/>
    </row>
    <row r="52" spans="1:38" ht="18" customHeight="1">
      <c r="B52" s="180" t="s">
        <v>159</v>
      </c>
      <c r="AK52" s="179"/>
      <c r="AL52" s="179"/>
    </row>
    <row r="53" spans="1:38" ht="18" customHeight="1" thickBot="1">
      <c r="B53" s="609" t="s">
        <v>267</v>
      </c>
      <c r="C53" s="610"/>
      <c r="D53" s="611"/>
      <c r="AK53" s="179"/>
      <c r="AL53" s="179"/>
    </row>
    <row r="54" spans="1:38" ht="44.25" customHeight="1" thickTop="1">
      <c r="B54" s="325" t="s">
        <v>158</v>
      </c>
      <c r="C54" s="326" t="s">
        <v>210</v>
      </c>
      <c r="D54" s="326" t="s">
        <v>254</v>
      </c>
      <c r="F54" s="228" t="s">
        <v>157</v>
      </c>
      <c r="G54" s="228" t="s">
        <v>211</v>
      </c>
      <c r="I54" s="231" t="s">
        <v>60</v>
      </c>
      <c r="J54" s="231" t="s">
        <v>156</v>
      </c>
      <c r="AK54" s="179"/>
      <c r="AL54" s="179"/>
    </row>
    <row r="55" spans="1:38">
      <c r="B55" s="223">
        <v>4.1666666666666664E-2</v>
      </c>
      <c r="C55" s="224">
        <v>99.8</v>
      </c>
      <c r="D55" s="209">
        <v>1.002</v>
      </c>
      <c r="F55" s="209" t="s">
        <v>155</v>
      </c>
      <c r="G55" s="209">
        <v>1.022</v>
      </c>
      <c r="I55" s="209">
        <v>1</v>
      </c>
      <c r="J55" s="225">
        <v>1.03</v>
      </c>
      <c r="K55" s="221" t="s">
        <v>154</v>
      </c>
    </row>
    <row r="56" spans="1:38">
      <c r="B56" s="223">
        <v>8.3333333333333301E-2</v>
      </c>
      <c r="C56" s="224">
        <v>129.19999999999999</v>
      </c>
      <c r="D56" s="209">
        <v>0.77400000000000002</v>
      </c>
      <c r="F56" s="209" t="s">
        <v>153</v>
      </c>
      <c r="G56" s="225">
        <v>0.99299999999999999</v>
      </c>
      <c r="I56" s="209">
        <v>2</v>
      </c>
      <c r="J56" s="225">
        <v>0.97899999999999998</v>
      </c>
      <c r="K56" s="221" t="s">
        <v>152</v>
      </c>
    </row>
    <row r="57" spans="1:38">
      <c r="B57" s="223">
        <v>0.125</v>
      </c>
      <c r="C57" s="224">
        <v>224.4</v>
      </c>
      <c r="D57" s="209">
        <v>0.44600000000000001</v>
      </c>
      <c r="F57" s="209" t="s">
        <v>151</v>
      </c>
      <c r="G57" s="209">
        <v>0.95499999999999996</v>
      </c>
      <c r="I57" s="209">
        <v>3</v>
      </c>
      <c r="J57" s="225">
        <v>1.02</v>
      </c>
      <c r="K57" s="221" t="s">
        <v>150</v>
      </c>
    </row>
    <row r="58" spans="1:38">
      <c r="B58" s="223">
        <v>0.16666666666666699</v>
      </c>
      <c r="C58" s="224">
        <v>163.19999999999999</v>
      </c>
      <c r="D58" s="209">
        <v>0.61299999999999999</v>
      </c>
      <c r="F58" s="209" t="s">
        <v>149</v>
      </c>
      <c r="G58" s="209">
        <v>0.91500000000000004</v>
      </c>
      <c r="I58" s="209">
        <v>4</v>
      </c>
      <c r="J58" s="225">
        <v>1.0009999999999999</v>
      </c>
      <c r="K58" s="221" t="s">
        <v>148</v>
      </c>
    </row>
    <row r="59" spans="1:38">
      <c r="B59" s="223">
        <v>0.20833333333333301</v>
      </c>
      <c r="C59" s="224">
        <v>106.2</v>
      </c>
      <c r="D59" s="209">
        <v>0.94099999999999995</v>
      </c>
      <c r="F59" s="209" t="s">
        <v>147</v>
      </c>
      <c r="G59" s="209">
        <v>0.91200000000000003</v>
      </c>
      <c r="I59" s="209">
        <v>5</v>
      </c>
      <c r="J59" s="225">
        <v>1.0469999999999999</v>
      </c>
      <c r="K59" s="221" t="s">
        <v>146</v>
      </c>
    </row>
    <row r="60" spans="1:38">
      <c r="B60" s="223">
        <v>0.25</v>
      </c>
      <c r="C60" s="224">
        <v>68.8</v>
      </c>
      <c r="D60" s="209">
        <v>1.454</v>
      </c>
      <c r="F60" s="209" t="s">
        <v>145</v>
      </c>
      <c r="G60" s="209">
        <v>1.1479999999999999</v>
      </c>
      <c r="I60" s="209">
        <v>6</v>
      </c>
      <c r="J60" s="225">
        <v>0.99199999999999999</v>
      </c>
      <c r="K60" s="221" t="s">
        <v>144</v>
      </c>
      <c r="Z60" s="213"/>
      <c r="AA60" s="213"/>
      <c r="AB60" s="213"/>
      <c r="AC60" s="213"/>
      <c r="AD60" s="213"/>
    </row>
    <row r="61" spans="1:38">
      <c r="B61" s="223">
        <v>0.29166666666666702</v>
      </c>
      <c r="C61" s="224">
        <v>34.1</v>
      </c>
      <c r="D61" s="209">
        <v>2.9350000000000001</v>
      </c>
      <c r="F61" s="209" t="s">
        <v>143</v>
      </c>
      <c r="G61" s="225">
        <v>1.093</v>
      </c>
      <c r="I61" s="209">
        <v>7</v>
      </c>
      <c r="J61" s="225">
        <v>0.99299999999999999</v>
      </c>
      <c r="K61" s="221" t="s">
        <v>142</v>
      </c>
      <c r="Z61" s="213"/>
      <c r="AA61" s="213"/>
      <c r="AB61" s="213"/>
      <c r="AC61" s="213"/>
      <c r="AD61" s="213"/>
    </row>
    <row r="62" spans="1:38">
      <c r="B62" s="223">
        <v>0.33333333333333298</v>
      </c>
      <c r="C62" s="224">
        <v>18.8</v>
      </c>
      <c r="D62" s="209">
        <v>5.3129999999999997</v>
      </c>
      <c r="F62" s="41"/>
      <c r="G62" s="41"/>
      <c r="I62" s="209">
        <v>8</v>
      </c>
      <c r="J62" s="225">
        <v>1.0109999999999999</v>
      </c>
      <c r="K62" s="221" t="s">
        <v>141</v>
      </c>
      <c r="Z62" s="213"/>
      <c r="AA62" s="213"/>
      <c r="AB62" s="213"/>
      <c r="AC62" s="213"/>
      <c r="AD62" s="213"/>
    </row>
    <row r="63" spans="1:38">
      <c r="B63" s="223">
        <v>0.375</v>
      </c>
      <c r="C63" s="224">
        <v>18</v>
      </c>
      <c r="D63" s="209">
        <v>5.5640000000000001</v>
      </c>
      <c r="G63" s="183">
        <f>+G59/G60</f>
        <v>0.79442508710801407</v>
      </c>
      <c r="I63" s="209">
        <v>9</v>
      </c>
      <c r="J63" s="225">
        <v>0.99199999999999999</v>
      </c>
      <c r="K63" s="221" t="s">
        <v>140</v>
      </c>
      <c r="Z63" s="213"/>
      <c r="AA63" s="213"/>
      <c r="AB63" s="213"/>
      <c r="AC63" s="213"/>
      <c r="AD63" s="213"/>
    </row>
    <row r="64" spans="1:38">
      <c r="B64" s="223">
        <v>0.41666666666666669</v>
      </c>
      <c r="C64" s="224">
        <v>16.3</v>
      </c>
      <c r="D64" s="209">
        <v>6.1369999999999996</v>
      </c>
      <c r="E64" s="181">
        <f>+D64/D63</f>
        <v>1.1029834651329977</v>
      </c>
      <c r="I64" s="209">
        <v>10</v>
      </c>
      <c r="J64" s="225">
        <v>0.97399999999999998</v>
      </c>
      <c r="K64" s="221" t="s">
        <v>139</v>
      </c>
      <c r="Z64" s="213"/>
      <c r="AA64" s="213"/>
      <c r="AB64" s="213"/>
      <c r="AC64" s="213"/>
      <c r="AD64" s="213"/>
    </row>
    <row r="65" spans="2:30">
      <c r="B65" s="223">
        <v>0.45833333333333298</v>
      </c>
      <c r="C65" s="224">
        <v>17.5</v>
      </c>
      <c r="D65" s="209">
        <v>5.7140000000000004</v>
      </c>
      <c r="I65" s="209">
        <v>11</v>
      </c>
      <c r="J65" s="225">
        <v>0.96</v>
      </c>
      <c r="K65" s="221" t="s">
        <v>138</v>
      </c>
      <c r="Z65" s="213"/>
      <c r="AA65" s="213"/>
      <c r="AB65" s="213"/>
      <c r="AC65" s="213"/>
      <c r="AD65" s="213"/>
    </row>
    <row r="66" spans="2:30">
      <c r="B66" s="223">
        <v>0.5</v>
      </c>
      <c r="C66" s="224">
        <v>17.399999999999999</v>
      </c>
      <c r="D66" s="209">
        <v>5.7590000000000003</v>
      </c>
      <c r="I66" s="209">
        <v>12</v>
      </c>
      <c r="J66" s="225">
        <v>1.004</v>
      </c>
      <c r="K66" s="221" t="s">
        <v>137</v>
      </c>
      <c r="Z66" s="213"/>
      <c r="AA66" s="213"/>
      <c r="AB66" s="213"/>
      <c r="AC66" s="213"/>
      <c r="AD66" s="213"/>
    </row>
    <row r="67" spans="2:30">
      <c r="B67" s="223">
        <v>0.54166666666666663</v>
      </c>
      <c r="C67" s="224">
        <v>16.7</v>
      </c>
      <c r="D67" s="209">
        <v>5.992</v>
      </c>
    </row>
    <row r="68" spans="2:30">
      <c r="B68" s="223">
        <v>0.58333333333333304</v>
      </c>
      <c r="C68" s="224">
        <v>17.8</v>
      </c>
      <c r="D68" s="209">
        <v>5.6079999999999997</v>
      </c>
      <c r="F68" s="229" t="s">
        <v>212</v>
      </c>
      <c r="G68" s="186"/>
      <c r="H68" s="229" t="s">
        <v>213</v>
      </c>
      <c r="I68" s="186"/>
      <c r="J68" s="213"/>
    </row>
    <row r="69" spans="2:30">
      <c r="B69" s="223">
        <v>0.625</v>
      </c>
      <c r="C69" s="224">
        <v>17.8</v>
      </c>
      <c r="D69" s="209">
        <v>5.6079999999999997</v>
      </c>
      <c r="F69" s="229" t="s">
        <v>255</v>
      </c>
      <c r="G69" s="186"/>
      <c r="H69" s="229" t="s">
        <v>214</v>
      </c>
      <c r="I69" s="213"/>
      <c r="J69" s="213"/>
    </row>
    <row r="70" spans="2:30">
      <c r="B70" s="223">
        <v>0.66666666666666696</v>
      </c>
      <c r="C70" s="224">
        <v>15.8</v>
      </c>
      <c r="D70" s="209">
        <v>6.327</v>
      </c>
      <c r="F70" s="229" t="s">
        <v>212</v>
      </c>
      <c r="G70" s="186"/>
      <c r="H70" s="229" t="s">
        <v>215</v>
      </c>
      <c r="I70" s="213"/>
      <c r="J70" s="213"/>
    </row>
    <row r="71" spans="2:30">
      <c r="B71" s="223">
        <v>0.70833333333333304</v>
      </c>
      <c r="C71" s="224">
        <v>14.1</v>
      </c>
      <c r="D71" s="209">
        <v>7.0949999999999998</v>
      </c>
      <c r="F71" s="229" t="s">
        <v>216</v>
      </c>
      <c r="G71" s="186"/>
      <c r="H71" s="594" t="s">
        <v>220</v>
      </c>
      <c r="I71" s="594"/>
      <c r="J71" s="594"/>
    </row>
    <row r="72" spans="2:30">
      <c r="B72" s="223">
        <v>0.75</v>
      </c>
      <c r="C72" s="224">
        <v>13.7</v>
      </c>
      <c r="D72" s="209">
        <v>7.3010000000000002</v>
      </c>
      <c r="F72" s="229" t="s">
        <v>217</v>
      </c>
      <c r="G72" s="186"/>
      <c r="H72" s="594"/>
      <c r="I72" s="594"/>
      <c r="J72" s="594"/>
    </row>
    <row r="73" spans="2:30">
      <c r="B73" s="223">
        <v>0.79166666666666696</v>
      </c>
      <c r="C73" s="224">
        <v>14.1</v>
      </c>
      <c r="D73" s="209">
        <v>7.0780000000000003</v>
      </c>
      <c r="F73" s="229" t="s">
        <v>218</v>
      </c>
      <c r="G73" s="186"/>
      <c r="H73" s="229" t="s">
        <v>219</v>
      </c>
      <c r="I73" s="214"/>
      <c r="J73" s="213"/>
    </row>
    <row r="74" spans="2:30" ht="15.75">
      <c r="B74" s="223">
        <v>0.83333333333333304</v>
      </c>
      <c r="C74" s="224">
        <v>16.399999999999999</v>
      </c>
      <c r="D74" s="209">
        <v>6.109</v>
      </c>
      <c r="L74" s="227"/>
      <c r="M74" s="227"/>
      <c r="P74" s="257"/>
      <c r="Q74" s="257"/>
      <c r="R74" s="257"/>
    </row>
    <row r="75" spans="2:30" ht="15.75">
      <c r="B75" s="223">
        <v>0.875</v>
      </c>
      <c r="C75" s="224">
        <v>21.1</v>
      </c>
      <c r="D75" s="209">
        <v>4.7450000000000001</v>
      </c>
      <c r="L75" s="227"/>
      <c r="M75" s="227"/>
    </row>
    <row r="76" spans="2:30" ht="15.75">
      <c r="B76" s="223">
        <v>0.91666666666666696</v>
      </c>
      <c r="C76" s="224">
        <v>27.2</v>
      </c>
      <c r="D76" s="209">
        <v>3.6760000000000002</v>
      </c>
      <c r="L76" s="227"/>
      <c r="M76" s="227"/>
    </row>
    <row r="77" spans="2:30" ht="15.75">
      <c r="B77" s="223">
        <v>0.95833333333333304</v>
      </c>
      <c r="C77" s="224">
        <v>48.4</v>
      </c>
      <c r="D77" s="209">
        <v>2.0659999999999998</v>
      </c>
      <c r="L77" s="227"/>
      <c r="M77" s="227"/>
    </row>
    <row r="78" spans="2:30">
      <c r="B78" s="223">
        <v>1</v>
      </c>
      <c r="C78" s="224">
        <v>57.4</v>
      </c>
      <c r="D78" s="209">
        <v>1.7430000000000001</v>
      </c>
    </row>
    <row r="79" spans="2:30">
      <c r="B79" s="211"/>
      <c r="C79" s="183"/>
      <c r="D79" s="183"/>
    </row>
    <row r="80" spans="2:30">
      <c r="B80" s="223">
        <v>23.0416666666667</v>
      </c>
      <c r="C80" s="209">
        <v>69.7</v>
      </c>
      <c r="D80" s="209">
        <v>1.4359999999999999</v>
      </c>
    </row>
    <row r="81" spans="2:10">
      <c r="B81" s="223">
        <v>23.0833333333333</v>
      </c>
      <c r="C81" s="209">
        <v>101.9</v>
      </c>
      <c r="D81" s="209">
        <v>0.98199999999999998</v>
      </c>
    </row>
    <row r="82" spans="2:10">
      <c r="B82" s="223">
        <v>23.125</v>
      </c>
      <c r="C82" s="209">
        <v>143</v>
      </c>
      <c r="D82" s="209">
        <v>0.69899999999999995</v>
      </c>
      <c r="J82" s="213"/>
    </row>
    <row r="83" spans="2:10" ht="15" customHeight="1">
      <c r="B83" s="223">
        <v>23.1666666666667</v>
      </c>
      <c r="C83" s="209">
        <v>198.8</v>
      </c>
      <c r="D83" s="209">
        <v>0.503</v>
      </c>
      <c r="J83" s="230"/>
    </row>
    <row r="84" spans="2:10">
      <c r="B84" s="223">
        <v>23.2083333333333</v>
      </c>
      <c r="C84" s="209">
        <v>133.6</v>
      </c>
      <c r="D84" s="209">
        <v>0.748</v>
      </c>
      <c r="J84" s="230"/>
    </row>
    <row r="85" spans="2:10">
      <c r="B85" s="223">
        <v>23.25</v>
      </c>
      <c r="C85" s="209">
        <v>56.6</v>
      </c>
      <c r="D85" s="209">
        <v>1.7669999999999999</v>
      </c>
      <c r="J85" s="213"/>
    </row>
    <row r="86" spans="2:10">
      <c r="B86" s="223">
        <v>23.2916666666667</v>
      </c>
      <c r="C86" s="209">
        <v>37.700000000000003</v>
      </c>
      <c r="D86" s="209">
        <v>2.65</v>
      </c>
    </row>
    <row r="87" spans="2:10">
      <c r="B87" s="223">
        <v>23.3333333333333</v>
      </c>
      <c r="C87" s="209">
        <v>21.2</v>
      </c>
      <c r="D87" s="209">
        <v>4.7240000000000002</v>
      </c>
    </row>
    <row r="88" spans="2:10">
      <c r="B88" s="223">
        <v>0.375</v>
      </c>
      <c r="C88" s="224">
        <v>16.5</v>
      </c>
      <c r="D88" s="225">
        <v>6.0609999999999999</v>
      </c>
      <c r="E88" s="261"/>
    </row>
    <row r="89" spans="2:10">
      <c r="B89" s="223">
        <v>0.41666666666666669</v>
      </c>
      <c r="C89" s="224">
        <v>14.5</v>
      </c>
      <c r="D89" s="225">
        <v>6.92</v>
      </c>
      <c r="E89" s="181">
        <f>+D89/D88</f>
        <v>1.1417257878237914</v>
      </c>
    </row>
    <row r="90" spans="2:10">
      <c r="B90" s="223">
        <v>0.45833333333333331</v>
      </c>
      <c r="C90" s="224">
        <v>13.6</v>
      </c>
      <c r="D90" s="225">
        <v>7.3369999999999997</v>
      </c>
    </row>
    <row r="91" spans="2:10">
      <c r="B91" s="223">
        <v>0.5</v>
      </c>
      <c r="C91" s="224">
        <v>15.1</v>
      </c>
      <c r="D91" s="225">
        <v>6.6260000000000003</v>
      </c>
    </row>
    <row r="92" spans="2:10">
      <c r="B92" s="223">
        <v>0.54166666666666663</v>
      </c>
      <c r="C92" s="373">
        <v>17.899999999999999</v>
      </c>
      <c r="D92" s="373">
        <v>5.5830000000000002</v>
      </c>
    </row>
    <row r="93" spans="2:10">
      <c r="B93" s="223">
        <v>23.5833333333333</v>
      </c>
      <c r="C93" s="373">
        <v>18.2</v>
      </c>
      <c r="D93" s="373">
        <v>5.5090000000000003</v>
      </c>
    </row>
    <row r="94" spans="2:10">
      <c r="B94" s="223">
        <v>23.625</v>
      </c>
      <c r="C94" s="373">
        <v>18.3</v>
      </c>
      <c r="D94" s="373">
        <v>5.4720000000000004</v>
      </c>
    </row>
    <row r="95" spans="2:10">
      <c r="B95" s="223">
        <v>23.6666666666667</v>
      </c>
      <c r="C95" s="373">
        <v>15.9</v>
      </c>
      <c r="D95" s="373">
        <v>6.27</v>
      </c>
    </row>
    <row r="96" spans="2:10">
      <c r="B96" s="223">
        <v>23.7083333333333</v>
      </c>
      <c r="C96" s="373">
        <v>16.600000000000001</v>
      </c>
      <c r="D96" s="373">
        <v>6.0119999999999996</v>
      </c>
    </row>
    <row r="97" spans="2:4">
      <c r="B97" s="223">
        <v>23.75</v>
      </c>
      <c r="C97" s="373">
        <v>15.4</v>
      </c>
      <c r="D97" s="373">
        <v>6.4790000000000001</v>
      </c>
    </row>
    <row r="98" spans="2:4">
      <c r="B98" s="223">
        <v>23.7916666666667</v>
      </c>
      <c r="C98" s="373">
        <v>13.7</v>
      </c>
      <c r="D98" s="373">
        <v>7.3129999999999997</v>
      </c>
    </row>
    <row r="99" spans="2:4">
      <c r="B99" s="223">
        <v>23.8333333333333</v>
      </c>
      <c r="C99" s="373">
        <v>18</v>
      </c>
      <c r="D99" s="373">
        <v>5.5709999999999997</v>
      </c>
    </row>
    <row r="100" spans="2:4">
      <c r="B100" s="223">
        <v>23.875</v>
      </c>
      <c r="C100" s="373">
        <v>21.4</v>
      </c>
      <c r="D100" s="373">
        <v>4.6749999999999998</v>
      </c>
    </row>
    <row r="101" spans="2:4">
      <c r="B101" s="223">
        <v>23.9166666666667</v>
      </c>
      <c r="C101" s="373">
        <v>30.4</v>
      </c>
      <c r="D101" s="373">
        <v>3.2879999999999998</v>
      </c>
    </row>
    <row r="102" spans="2:4">
      <c r="B102" s="223">
        <v>23.9583333333333</v>
      </c>
      <c r="C102" s="373">
        <v>55.8</v>
      </c>
      <c r="D102" s="373">
        <v>1.7909999999999999</v>
      </c>
    </row>
    <row r="103" spans="2:4">
      <c r="B103" s="223">
        <v>24</v>
      </c>
      <c r="C103" s="373">
        <v>63.2</v>
      </c>
      <c r="D103" s="373">
        <v>1.583</v>
      </c>
    </row>
  </sheetData>
  <mergeCells count="75">
    <mergeCell ref="B53:D53"/>
    <mergeCell ref="M6:M13"/>
    <mergeCell ref="M14:M21"/>
    <mergeCell ref="M22:M27"/>
    <mergeCell ref="L14:L17"/>
    <mergeCell ref="B6:B9"/>
    <mergeCell ref="E43:F43"/>
    <mergeCell ref="C39:C42"/>
    <mergeCell ref="D46:G46"/>
    <mergeCell ref="L48:L50"/>
    <mergeCell ref="H50:J50"/>
    <mergeCell ref="E50:F50"/>
    <mergeCell ref="C46:C49"/>
    <mergeCell ref="B10:B13"/>
    <mergeCell ref="B14:B17"/>
    <mergeCell ref="H71:J72"/>
    <mergeCell ref="U41:Z42"/>
    <mergeCell ref="P18:P21"/>
    <mergeCell ref="N14:N17"/>
    <mergeCell ref="O14:O21"/>
    <mergeCell ref="P14:P17"/>
    <mergeCell ref="H14:H17"/>
    <mergeCell ref="I14:I17"/>
    <mergeCell ref="J14:J21"/>
    <mergeCell ref="K14:K21"/>
    <mergeCell ref="Q22:Q27"/>
    <mergeCell ref="P41:T42"/>
    <mergeCell ref="L41:L43"/>
    <mergeCell ref="H43:J43"/>
    <mergeCell ref="L39:L40"/>
    <mergeCell ref="H39:K39"/>
    <mergeCell ref="H46:K46"/>
    <mergeCell ref="L46:L47"/>
    <mergeCell ref="N25:N27"/>
    <mergeCell ref="P25:P27"/>
    <mergeCell ref="N22:N24"/>
    <mergeCell ref="O22:O27"/>
    <mergeCell ref="P22:P24"/>
    <mergeCell ref="N18:N21"/>
    <mergeCell ref="P6:P9"/>
    <mergeCell ref="AB44:AC44"/>
    <mergeCell ref="K22:K27"/>
    <mergeCell ref="L22:L24"/>
    <mergeCell ref="Q6:Q13"/>
    <mergeCell ref="P10:P13"/>
    <mergeCell ref="Q14:Q21"/>
    <mergeCell ref="AB31:AG31"/>
    <mergeCell ref="AB42:AC42"/>
    <mergeCell ref="AB43:AC43"/>
    <mergeCell ref="AG37:AG38"/>
    <mergeCell ref="AE37:AF37"/>
    <mergeCell ref="H6:H9"/>
    <mergeCell ref="I6:I9"/>
    <mergeCell ref="J6:J13"/>
    <mergeCell ref="K6:K13"/>
    <mergeCell ref="L6:L9"/>
    <mergeCell ref="H10:H13"/>
    <mergeCell ref="I10:I13"/>
    <mergeCell ref="L10:L13"/>
    <mergeCell ref="N10:N13"/>
    <mergeCell ref="N6:N9"/>
    <mergeCell ref="O6:O13"/>
    <mergeCell ref="D39:G39"/>
    <mergeCell ref="B18:B21"/>
    <mergeCell ref="B22:B24"/>
    <mergeCell ref="B25:B27"/>
    <mergeCell ref="L25:L27"/>
    <mergeCell ref="H25:H27"/>
    <mergeCell ref="I25:I27"/>
    <mergeCell ref="H22:H24"/>
    <mergeCell ref="I22:I24"/>
    <mergeCell ref="J22:J27"/>
    <mergeCell ref="H18:H21"/>
    <mergeCell ref="I18:I21"/>
    <mergeCell ref="L18:L21"/>
  </mergeCells>
  <phoneticPr fontId="24" type="noConversion"/>
  <pageMargins left="0.7" right="0.7" top="0.75" bottom="0.75" header="0.3" footer="0.3"/>
  <pageSetup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8:AC45"/>
  <sheetViews>
    <sheetView showGridLines="0" zoomScale="85" zoomScaleNormal="85" workbookViewId="0">
      <selection activeCell="W24" sqref="W24"/>
    </sheetView>
  </sheetViews>
  <sheetFormatPr baseColWidth="10" defaultRowHeight="15"/>
  <cols>
    <col min="1" max="1" width="11.42578125" style="213"/>
    <col min="2" max="2" width="10" style="213" customWidth="1"/>
    <col min="3" max="3" width="6.7109375" style="213" customWidth="1"/>
    <col min="4" max="4" width="9.28515625" style="213" customWidth="1"/>
    <col min="5" max="5" width="6.5703125" style="213" bestFit="1" customWidth="1"/>
    <col min="6" max="6" width="24.28515625" style="213" customWidth="1"/>
    <col min="7" max="7" width="9.5703125" style="213" customWidth="1"/>
    <col min="8" max="8" width="20.5703125" style="213" bestFit="1" customWidth="1"/>
    <col min="9" max="9" width="6.5703125" style="213" customWidth="1"/>
    <col min="10" max="10" width="8.5703125" style="213" customWidth="1"/>
    <col min="11" max="11" width="7.85546875" style="213" bestFit="1" customWidth="1"/>
    <col min="12" max="12" width="7.140625" style="213" customWidth="1"/>
    <col min="13" max="13" width="7.28515625" style="213" customWidth="1"/>
    <col min="14" max="14" width="7.85546875" style="213" customWidth="1"/>
    <col min="15" max="15" width="7.85546875" style="213" bestFit="1" customWidth="1"/>
    <col min="16" max="16" width="7.7109375" style="213" customWidth="1"/>
    <col min="17" max="17" width="8.5703125" style="213" customWidth="1"/>
    <col min="18" max="18" width="5.85546875" style="213" bestFit="1" customWidth="1"/>
    <col min="19" max="29" width="11.42578125" style="213"/>
  </cols>
  <sheetData>
    <row r="8" spans="2:17" ht="53.25" customHeight="1">
      <c r="B8" s="234" t="s">
        <v>312</v>
      </c>
      <c r="C8" s="234" t="s">
        <v>19</v>
      </c>
      <c r="D8" s="396" t="s">
        <v>199</v>
      </c>
      <c r="E8" s="622" t="s">
        <v>307</v>
      </c>
      <c r="F8" s="623"/>
      <c r="G8" s="235" t="s">
        <v>223</v>
      </c>
      <c r="H8" s="622" t="s">
        <v>316</v>
      </c>
      <c r="I8" s="623"/>
      <c r="J8" s="622" t="s">
        <v>313</v>
      </c>
      <c r="K8" s="623"/>
      <c r="L8" s="622" t="s">
        <v>314</v>
      </c>
      <c r="M8" s="623"/>
      <c r="N8" s="622" t="s">
        <v>315</v>
      </c>
      <c r="O8" s="623"/>
    </row>
    <row r="9" spans="2:17" ht="33" customHeight="1">
      <c r="B9" s="435" t="s">
        <v>264</v>
      </c>
      <c r="C9" s="190">
        <v>2024</v>
      </c>
      <c r="D9" s="208">
        <v>1197.1297214716951</v>
      </c>
      <c r="E9" s="450">
        <v>1</v>
      </c>
      <c r="F9" s="216">
        <v>1197.1297214716951</v>
      </c>
      <c r="G9" s="208">
        <v>1428.0107545997698</v>
      </c>
      <c r="H9" s="362">
        <v>3.5043169121381418E-2</v>
      </c>
      <c r="I9" s="216">
        <v>50.042022380591234</v>
      </c>
      <c r="J9" s="362">
        <v>0.18131030980192991</v>
      </c>
      <c r="K9" s="216">
        <v>258.91307231697198</v>
      </c>
      <c r="L9" s="362">
        <v>0.29812087353986799</v>
      </c>
      <c r="M9" s="216">
        <v>425.71981358560947</v>
      </c>
      <c r="N9" s="362">
        <v>0.4855256475368207</v>
      </c>
      <c r="O9" s="216">
        <v>693.33584631659721</v>
      </c>
      <c r="Q9" s="220"/>
    </row>
    <row r="10" spans="2:17" ht="33" customHeight="1">
      <c r="B10" s="387" t="s">
        <v>311</v>
      </c>
      <c r="C10" s="190">
        <v>2024</v>
      </c>
      <c r="D10" s="208">
        <v>1197.1297214716951</v>
      </c>
      <c r="E10" s="450">
        <v>1</v>
      </c>
      <c r="F10" s="216">
        <v>1197.1297214716951</v>
      </c>
      <c r="G10" s="208">
        <v>744.01075459976994</v>
      </c>
      <c r="H10" s="362">
        <v>3.5043169121381418E-2</v>
      </c>
      <c r="I10" s="216">
        <v>26.072494701566345</v>
      </c>
      <c r="J10" s="362">
        <v>0.18131030980192991</v>
      </c>
      <c r="K10" s="216">
        <v>134.89682041245194</v>
      </c>
      <c r="L10" s="362">
        <v>0.29812087353986799</v>
      </c>
      <c r="M10" s="216">
        <v>221.80513608433978</v>
      </c>
      <c r="N10" s="362">
        <v>0.4855256475368207</v>
      </c>
      <c r="O10" s="216">
        <v>361.23630340141193</v>
      </c>
      <c r="Q10" s="220"/>
    </row>
    <row r="11" spans="2:17">
      <c r="D11" s="220"/>
      <c r="E11" s="220"/>
      <c r="G11" s="220"/>
      <c r="I11" s="220"/>
      <c r="K11" s="220"/>
      <c r="M11" s="220"/>
      <c r="O11" s="220"/>
      <c r="Q11" s="220"/>
    </row>
    <row r="12" spans="2:17">
      <c r="Q12" s="220"/>
    </row>
    <row r="13" spans="2:17">
      <c r="O13" s="179"/>
    </row>
    <row r="14" spans="2:17" ht="18.75" customHeight="1">
      <c r="B14" s="236" t="s">
        <v>171</v>
      </c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8"/>
      <c r="O14" s="179"/>
    </row>
    <row r="15" spans="2:17" ht="18.75" customHeight="1">
      <c r="B15" s="239" t="s">
        <v>172</v>
      </c>
      <c r="C15" s="240"/>
      <c r="D15" s="240"/>
      <c r="E15" s="240"/>
      <c r="F15" s="240"/>
      <c r="G15" s="240"/>
      <c r="H15" s="241" t="s">
        <v>173</v>
      </c>
      <c r="I15" s="241"/>
      <c r="J15" s="241" t="s">
        <v>174</v>
      </c>
      <c r="K15" s="241"/>
      <c r="L15" s="240"/>
      <c r="M15" s="240"/>
      <c r="N15" s="242"/>
      <c r="O15" s="179"/>
    </row>
    <row r="16" spans="2:17" ht="18.75" customHeight="1">
      <c r="B16" s="239" t="s">
        <v>175</v>
      </c>
      <c r="C16" s="240"/>
      <c r="D16" s="240"/>
      <c r="E16" s="240"/>
      <c r="F16" s="240"/>
      <c r="G16" s="240"/>
      <c r="H16" s="241" t="s">
        <v>176</v>
      </c>
      <c r="I16" s="241"/>
      <c r="J16" s="240"/>
      <c r="K16" s="240"/>
      <c r="L16" s="240" t="s">
        <v>177</v>
      </c>
      <c r="M16" s="240"/>
      <c r="N16" s="242"/>
      <c r="O16" s="215"/>
    </row>
    <row r="17" spans="2:18" ht="18.75" customHeight="1">
      <c r="B17" s="239" t="s">
        <v>178</v>
      </c>
      <c r="C17" s="240"/>
      <c r="D17" s="240"/>
      <c r="E17" s="240"/>
      <c r="F17" s="240"/>
      <c r="G17" s="240"/>
      <c r="H17" s="241" t="s">
        <v>179</v>
      </c>
      <c r="I17" s="241"/>
      <c r="J17" s="241" t="s">
        <v>180</v>
      </c>
      <c r="K17" s="241"/>
      <c r="L17" s="241" t="s">
        <v>181</v>
      </c>
      <c r="M17" s="241"/>
      <c r="N17" s="242"/>
    </row>
    <row r="18" spans="2:18" ht="18.75" customHeight="1">
      <c r="B18" s="243" t="s">
        <v>182</v>
      </c>
      <c r="C18" s="244"/>
      <c r="D18" s="244"/>
      <c r="E18" s="244"/>
      <c r="F18" s="244"/>
      <c r="G18" s="244"/>
      <c r="H18" s="245" t="s">
        <v>183</v>
      </c>
      <c r="I18" s="245"/>
      <c r="J18" s="245" t="s">
        <v>184</v>
      </c>
      <c r="K18" s="245"/>
      <c r="L18" s="245" t="s">
        <v>185</v>
      </c>
      <c r="M18" s="245"/>
      <c r="N18" s="246" t="s">
        <v>186</v>
      </c>
    </row>
    <row r="20" spans="2:18" ht="31.5">
      <c r="B20" s="247" t="s">
        <v>235</v>
      </c>
      <c r="C20" s="379" t="s">
        <v>19</v>
      </c>
      <c r="D20" s="248" t="s">
        <v>62</v>
      </c>
      <c r="E20" s="247" t="s">
        <v>63</v>
      </c>
      <c r="F20" s="247" t="s">
        <v>64</v>
      </c>
      <c r="G20" s="247" t="s">
        <v>65</v>
      </c>
      <c r="H20" s="247" t="s">
        <v>66</v>
      </c>
      <c r="I20" s="247" t="s">
        <v>67</v>
      </c>
      <c r="J20" s="247" t="s">
        <v>68</v>
      </c>
      <c r="K20" s="247" t="s">
        <v>69</v>
      </c>
      <c r="L20" s="247" t="s">
        <v>70</v>
      </c>
      <c r="M20" s="247" t="s">
        <v>71</v>
      </c>
      <c r="N20" s="247" t="s">
        <v>72</v>
      </c>
      <c r="O20" s="247" t="s">
        <v>73</v>
      </c>
      <c r="P20" s="247" t="s">
        <v>3</v>
      </c>
    </row>
    <row r="21" spans="2:18" ht="24.75" hidden="1" customHeight="1">
      <c r="B21" s="247"/>
      <c r="C21" s="380"/>
      <c r="D21" s="252" t="s">
        <v>224</v>
      </c>
      <c r="E21" s="253" t="s">
        <v>225</v>
      </c>
      <c r="F21" s="253" t="s">
        <v>226</v>
      </c>
      <c r="G21" s="253" t="s">
        <v>225</v>
      </c>
      <c r="H21" s="253" t="s">
        <v>226</v>
      </c>
      <c r="I21" s="253" t="s">
        <v>226</v>
      </c>
      <c r="J21" s="253" t="s">
        <v>227</v>
      </c>
      <c r="K21" s="253" t="s">
        <v>227</v>
      </c>
      <c r="L21" s="253" t="s">
        <v>226</v>
      </c>
      <c r="M21" s="253" t="s">
        <v>226</v>
      </c>
      <c r="N21" s="253" t="s">
        <v>227</v>
      </c>
      <c r="O21" s="253" t="s">
        <v>228</v>
      </c>
      <c r="P21" s="247"/>
    </row>
    <row r="22" spans="2:18" ht="24.75" hidden="1" customHeight="1">
      <c r="B22" s="247"/>
      <c r="C22" s="381"/>
      <c r="D22" s="249">
        <v>1</v>
      </c>
      <c r="E22" s="249">
        <f>+F29/(F29+H29)</f>
        <v>5.2631578947368425E-2</v>
      </c>
      <c r="F22" s="250">
        <f>+G29/(G29+I29+J29+M29+N29)</f>
        <v>9.375E-2</v>
      </c>
      <c r="G22" s="249">
        <f>+H29/(F29+H29)</f>
        <v>0.94736842105263164</v>
      </c>
      <c r="H22" s="250">
        <f>+I29/(G29+I29+J29+M29+N29)</f>
        <v>0.12500000000000003</v>
      </c>
      <c r="I22" s="250">
        <f>+J29/(G29+I29+J29+M29+N29)</f>
        <v>0.12500000000000003</v>
      </c>
      <c r="J22" s="250">
        <f>+K29/(K29+L29+O29)</f>
        <v>0.53608247422680411</v>
      </c>
      <c r="K22" s="250">
        <f>+L29/(K29+L29+O29)</f>
        <v>0.19587628865979378</v>
      </c>
      <c r="L22" s="250">
        <f>+M29/(G29+I29+J29+M29+N29)</f>
        <v>6.2500000000000014E-2</v>
      </c>
      <c r="M22" s="250">
        <f>+N29/(G29+I29+J29+M29+N29)</f>
        <v>0.59375</v>
      </c>
      <c r="N22" s="250">
        <f>+O29/(K29+L29+O29)</f>
        <v>0.26804123711340205</v>
      </c>
      <c r="O22" s="250">
        <v>1</v>
      </c>
      <c r="P22" s="247"/>
    </row>
    <row r="23" spans="2:18" ht="32.25" customHeight="1">
      <c r="B23" s="433" t="s">
        <v>264</v>
      </c>
      <c r="C23" s="166">
        <v>2024</v>
      </c>
      <c r="D23" s="166">
        <v>1197.1297214716951</v>
      </c>
      <c r="E23" s="434">
        <v>2.6337906516100653</v>
      </c>
      <c r="F23" s="434">
        <v>24.273100529716125</v>
      </c>
      <c r="G23" s="434">
        <v>47.408231728981171</v>
      </c>
      <c r="H23" s="434">
        <v>32.364134039621504</v>
      </c>
      <c r="I23" s="434">
        <v>32.364134039621504</v>
      </c>
      <c r="J23" s="434">
        <v>228.22093099434733</v>
      </c>
      <c r="K23" s="434">
        <v>83.388417094088439</v>
      </c>
      <c r="L23" s="434">
        <v>16.182067019810752</v>
      </c>
      <c r="M23" s="434">
        <v>153.72963668820211</v>
      </c>
      <c r="N23" s="434">
        <v>114.11046549717366</v>
      </c>
      <c r="O23" s="434">
        <v>693.33584631659721</v>
      </c>
      <c r="P23" s="251">
        <v>2625.1404760714654</v>
      </c>
      <c r="R23" s="220"/>
    </row>
    <row r="24" spans="2:18" ht="32.25" customHeight="1">
      <c r="B24" s="433" t="s">
        <v>311</v>
      </c>
      <c r="C24" s="166">
        <v>2024</v>
      </c>
      <c r="D24" s="166">
        <v>1197.1297214716951</v>
      </c>
      <c r="E24" s="434">
        <v>1.3722365632403342</v>
      </c>
      <c r="F24" s="434">
        <v>12.646576913667371</v>
      </c>
      <c r="G24" s="434">
        <v>24.700258138326014</v>
      </c>
      <c r="H24" s="434">
        <v>16.862102551556497</v>
      </c>
      <c r="I24" s="434">
        <v>16.862102551556497</v>
      </c>
      <c r="J24" s="434">
        <v>118.90584614830586</v>
      </c>
      <c r="K24" s="434">
        <v>43.446366861880982</v>
      </c>
      <c r="L24" s="434">
        <v>8.4310512757782483</v>
      </c>
      <c r="M24" s="434">
        <v>80.094987119893347</v>
      </c>
      <c r="N24" s="434">
        <v>59.452923074152928</v>
      </c>
      <c r="O24" s="434">
        <v>361.23630340141193</v>
      </c>
      <c r="P24" s="251">
        <v>1941.1404760714652</v>
      </c>
      <c r="R24" s="220"/>
    </row>
    <row r="25" spans="2:18">
      <c r="F25" s="220"/>
      <c r="G25" s="220"/>
      <c r="H25" s="220"/>
      <c r="R25" s="220"/>
    </row>
    <row r="26" spans="2:18" ht="21.75" customHeight="1">
      <c r="D26" s="248" t="s">
        <v>62</v>
      </c>
      <c r="E26" s="248"/>
      <c r="F26" s="247" t="s">
        <v>63</v>
      </c>
      <c r="G26" s="247" t="s">
        <v>64</v>
      </c>
      <c r="H26" s="247" t="s">
        <v>65</v>
      </c>
      <c r="I26" s="247" t="s">
        <v>66</v>
      </c>
      <c r="J26" s="247" t="s">
        <v>67</v>
      </c>
      <c r="K26" s="247" t="s">
        <v>68</v>
      </c>
      <c r="L26" s="247" t="s">
        <v>69</v>
      </c>
      <c r="M26" s="247" t="s">
        <v>70</v>
      </c>
      <c r="N26" s="247" t="s">
        <v>71</v>
      </c>
      <c r="O26" s="247" t="s">
        <v>72</v>
      </c>
      <c r="P26" s="247" t="s">
        <v>73</v>
      </c>
      <c r="R26" s="220"/>
    </row>
    <row r="27" spans="2:18" ht="19.5" customHeight="1">
      <c r="B27" s="255" t="s">
        <v>229</v>
      </c>
      <c r="C27" s="558">
        <v>2023</v>
      </c>
      <c r="D27" s="149">
        <v>75.8</v>
      </c>
      <c r="E27" s="149"/>
      <c r="F27" s="149">
        <v>0.4</v>
      </c>
      <c r="G27" s="149">
        <v>0.6</v>
      </c>
      <c r="H27" s="149">
        <v>7.2</v>
      </c>
      <c r="I27" s="149">
        <v>0.8</v>
      </c>
      <c r="J27" s="149">
        <v>0.8</v>
      </c>
      <c r="K27" s="149">
        <v>5.2</v>
      </c>
      <c r="L27" s="149">
        <v>1.9</v>
      </c>
      <c r="M27" s="149">
        <v>0.4</v>
      </c>
      <c r="N27" s="149">
        <v>3.8</v>
      </c>
      <c r="O27" s="149">
        <v>2.6</v>
      </c>
      <c r="P27" s="149">
        <v>0.4</v>
      </c>
      <c r="R27" s="220"/>
    </row>
    <row r="28" spans="2:18" ht="19.5" customHeight="1">
      <c r="B28" s="626" t="s">
        <v>230</v>
      </c>
      <c r="C28" s="559"/>
      <c r="D28" s="190" t="s">
        <v>224</v>
      </c>
      <c r="E28" s="190"/>
      <c r="F28" s="190" t="s">
        <v>225</v>
      </c>
      <c r="G28" s="190" t="s">
        <v>226</v>
      </c>
      <c r="H28" s="190" t="s">
        <v>225</v>
      </c>
      <c r="I28" s="190" t="s">
        <v>226</v>
      </c>
      <c r="J28" s="190" t="s">
        <v>226</v>
      </c>
      <c r="K28" s="190" t="s">
        <v>227</v>
      </c>
      <c r="L28" s="190" t="s">
        <v>227</v>
      </c>
      <c r="M28" s="190" t="s">
        <v>226</v>
      </c>
      <c r="N28" s="190" t="s">
        <v>226</v>
      </c>
      <c r="O28" s="190" t="s">
        <v>227</v>
      </c>
      <c r="P28" s="190" t="s">
        <v>228</v>
      </c>
      <c r="R28" s="220"/>
    </row>
    <row r="29" spans="2:18">
      <c r="B29" s="627"/>
      <c r="C29" s="564"/>
      <c r="D29" s="254">
        <v>1</v>
      </c>
      <c r="E29" s="254"/>
      <c r="F29" s="254">
        <v>1.6597510373443987E-2</v>
      </c>
      <c r="G29" s="254">
        <v>2.4896265560165977E-2</v>
      </c>
      <c r="H29" s="254">
        <v>0.29875518672199175</v>
      </c>
      <c r="I29" s="254">
        <v>3.3195020746887974E-2</v>
      </c>
      <c r="J29" s="254">
        <v>3.3195020746887974E-2</v>
      </c>
      <c r="K29" s="254">
        <v>0.21576763485477182</v>
      </c>
      <c r="L29" s="254">
        <v>7.8838174273858919E-2</v>
      </c>
      <c r="M29" s="254">
        <v>1.6597510373443987E-2</v>
      </c>
      <c r="N29" s="254">
        <v>0.15767634854771784</v>
      </c>
      <c r="O29" s="254">
        <v>0.10788381742738591</v>
      </c>
      <c r="P29" s="254">
        <v>1.6597510373443987E-2</v>
      </c>
      <c r="Q29" s="436"/>
      <c r="R29" s="220"/>
    </row>
    <row r="30" spans="2:18">
      <c r="R30" s="220"/>
    </row>
    <row r="31" spans="2:18" ht="15.75" thickBot="1">
      <c r="R31" s="220"/>
    </row>
    <row r="32" spans="2:18" ht="23.25" customHeight="1">
      <c r="F32" s="437" t="s">
        <v>271</v>
      </c>
      <c r="G32" s="438" t="s">
        <v>169</v>
      </c>
      <c r="H32" s="439" t="s">
        <v>270</v>
      </c>
    </row>
    <row r="33" spans="6:8">
      <c r="F33" s="310" t="s">
        <v>272</v>
      </c>
      <c r="G33" s="256" t="s">
        <v>62</v>
      </c>
      <c r="H33" s="385">
        <v>1</v>
      </c>
    </row>
    <row r="34" spans="6:8">
      <c r="F34" s="625" t="s">
        <v>274</v>
      </c>
      <c r="G34" s="256" t="s">
        <v>63</v>
      </c>
      <c r="H34" s="385">
        <f>+F27/(F27+G27)</f>
        <v>0.4</v>
      </c>
    </row>
    <row r="35" spans="6:8" ht="15" customHeight="1">
      <c r="F35" s="625"/>
      <c r="G35" s="256" t="s">
        <v>64</v>
      </c>
      <c r="H35" s="385">
        <f>1-H34</f>
        <v>0.6</v>
      </c>
    </row>
    <row r="36" spans="6:8" ht="15" customHeight="1">
      <c r="F36" s="624" t="s">
        <v>273</v>
      </c>
      <c r="G36" s="256" t="s">
        <v>65</v>
      </c>
      <c r="H36" s="385">
        <f>+H27/(H27+I27)</f>
        <v>0.9</v>
      </c>
    </row>
    <row r="37" spans="6:8" ht="15.75" thickBot="1">
      <c r="F37" s="551"/>
      <c r="G37" s="440" t="s">
        <v>66</v>
      </c>
      <c r="H37" s="441">
        <f>1-H36</f>
        <v>9.9999999999999978E-2</v>
      </c>
    </row>
    <row r="38" spans="6:8" ht="23.25" customHeight="1">
      <c r="F38" s="437" t="s">
        <v>271</v>
      </c>
      <c r="G38" s="438" t="s">
        <v>169</v>
      </c>
      <c r="H38" s="439" t="s">
        <v>270</v>
      </c>
    </row>
    <row r="39" spans="6:8">
      <c r="F39" s="551" t="s">
        <v>275</v>
      </c>
      <c r="G39" s="256" t="s">
        <v>67</v>
      </c>
      <c r="H39" s="385">
        <f>+J27/SUM($J$27:$L$27)</f>
        <v>0.10126582278481013</v>
      </c>
    </row>
    <row r="40" spans="6:8">
      <c r="F40" s="552"/>
      <c r="G40" s="256" t="s">
        <v>68</v>
      </c>
      <c r="H40" s="385">
        <f>+K27/SUM($J$27:$L$27)</f>
        <v>0.65822784810126578</v>
      </c>
    </row>
    <row r="41" spans="6:8">
      <c r="F41" s="555"/>
      <c r="G41" s="187" t="s">
        <v>69</v>
      </c>
      <c r="H41" s="385">
        <f>+L27/SUM($J$27:$L$27)</f>
        <v>0.24050632911392403</v>
      </c>
    </row>
    <row r="42" spans="6:8">
      <c r="F42" s="551" t="s">
        <v>276</v>
      </c>
      <c r="G42" s="187" t="s">
        <v>70</v>
      </c>
      <c r="H42" s="385">
        <f>+M27/SUM($M$27:$P$27)</f>
        <v>5.5555555555555552E-2</v>
      </c>
    </row>
    <row r="43" spans="6:8">
      <c r="F43" s="552"/>
      <c r="G43" s="187" t="s">
        <v>71</v>
      </c>
      <c r="H43" s="385">
        <f>+N27/SUM($M$27:$P$27)</f>
        <v>0.52777777777777768</v>
      </c>
    </row>
    <row r="44" spans="6:8">
      <c r="F44" s="552"/>
      <c r="G44" s="187" t="s">
        <v>72</v>
      </c>
      <c r="H44" s="385">
        <f>+O27/SUM($M$27:$P$27)</f>
        <v>0.36111111111111105</v>
      </c>
    </row>
    <row r="45" spans="6:8" ht="15.75" thickBot="1">
      <c r="F45" s="553"/>
      <c r="G45" s="386" t="s">
        <v>73</v>
      </c>
      <c r="H45" s="384">
        <f>+P27/SUM($M$27:$P$27)</f>
        <v>5.5555555555555552E-2</v>
      </c>
    </row>
  </sheetData>
  <mergeCells count="11">
    <mergeCell ref="F36:F37"/>
    <mergeCell ref="F34:F35"/>
    <mergeCell ref="F39:F41"/>
    <mergeCell ref="F42:F45"/>
    <mergeCell ref="B28:B29"/>
    <mergeCell ref="N8:O8"/>
    <mergeCell ref="L8:M8"/>
    <mergeCell ref="J8:K8"/>
    <mergeCell ref="H8:I8"/>
    <mergeCell ref="C27:C29"/>
    <mergeCell ref="E8:F8"/>
  </mergeCells>
  <pageMargins left="0.7" right="0.7" top="0.75" bottom="0.75" header="0.3" footer="0.3"/>
  <pageSetup orientation="portrait" horizontalDpi="4294967294" verticalDpi="4294967294" r:id="rId1"/>
  <ignoredErrors>
    <ignoredError sqref="H36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AK50"/>
  <sheetViews>
    <sheetView showGridLines="0" topLeftCell="F1" zoomScale="85" zoomScaleNormal="85" workbookViewId="0">
      <pane ySplit="1" topLeftCell="A8" activePane="bottomLeft" state="frozen"/>
      <selection pane="bottomLeft" activeCell="X37" sqref="X37"/>
    </sheetView>
  </sheetViews>
  <sheetFormatPr baseColWidth="10" defaultRowHeight="15"/>
  <cols>
    <col min="1" max="1" width="4" customWidth="1"/>
    <col min="2" max="2" width="19.85546875" style="179" customWidth="1"/>
    <col min="3" max="3" width="28.7109375" style="179" customWidth="1"/>
    <col min="4" max="4" width="14.42578125" style="179" customWidth="1"/>
    <col min="5" max="13" width="7.85546875" style="179" customWidth="1"/>
    <col min="14" max="20" width="9.140625" style="179" customWidth="1"/>
    <col min="21" max="21" width="9.85546875" style="179" customWidth="1"/>
  </cols>
  <sheetData>
    <row r="1" spans="1:37" ht="27" customHeight="1">
      <c r="D1" s="469"/>
      <c r="I1" s="633" t="s">
        <v>261</v>
      </c>
      <c r="J1" s="633"/>
      <c r="K1" s="633"/>
      <c r="L1" s="633"/>
    </row>
    <row r="2" spans="1:37" ht="15.75">
      <c r="B2" s="635" t="s">
        <v>265</v>
      </c>
      <c r="C2" s="636"/>
      <c r="D2" s="469"/>
    </row>
    <row r="3" spans="1:37">
      <c r="B3" s="504" t="s">
        <v>88</v>
      </c>
      <c r="C3" s="452" t="s">
        <v>321</v>
      </c>
      <c r="D3" s="469"/>
    </row>
    <row r="4" spans="1:37">
      <c r="B4" s="504"/>
      <c r="C4" s="452" t="s">
        <v>3</v>
      </c>
      <c r="D4" s="469"/>
    </row>
    <row r="5" spans="1:37">
      <c r="B5" s="453" t="s">
        <v>25</v>
      </c>
      <c r="C5" s="362">
        <v>2.5000000000000001E-2</v>
      </c>
      <c r="D5" s="469"/>
    </row>
    <row r="6" spans="1:37">
      <c r="A6" s="468"/>
      <c r="B6" s="468"/>
      <c r="C6" s="468"/>
      <c r="D6" s="469"/>
      <c r="E6" s="468"/>
    </row>
    <row r="7" spans="1:37">
      <c r="A7" s="468"/>
      <c r="B7" s="468"/>
      <c r="C7" s="468"/>
      <c r="D7" s="468"/>
      <c r="E7" s="468"/>
    </row>
    <row r="8" spans="1:37">
      <c r="B8" s="214"/>
      <c r="C8" s="401"/>
      <c r="D8" s="401"/>
    </row>
    <row r="9" spans="1:37" ht="29.25" customHeight="1">
      <c r="B9" s="634" t="s">
        <v>308</v>
      </c>
      <c r="C9" s="634"/>
      <c r="D9" s="634"/>
      <c r="E9" s="634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</row>
    <row r="10" spans="1:37" ht="18.75" customHeight="1">
      <c r="B10" s="628" t="s">
        <v>101</v>
      </c>
      <c r="C10" s="628" t="s">
        <v>278</v>
      </c>
      <c r="D10" s="208" t="s">
        <v>103</v>
      </c>
      <c r="E10" s="208">
        <v>2024</v>
      </c>
      <c r="F10" s="208">
        <f>+E10+1</f>
        <v>2025</v>
      </c>
      <c r="G10" s="208">
        <f t="shared" ref="G10:L10" si="0">+F10+1</f>
        <v>2026</v>
      </c>
      <c r="H10" s="208">
        <f t="shared" si="0"/>
        <v>2027</v>
      </c>
      <c r="I10" s="208">
        <f t="shared" si="0"/>
        <v>2028</v>
      </c>
      <c r="J10" s="208">
        <f t="shared" si="0"/>
        <v>2029</v>
      </c>
      <c r="K10" s="208">
        <f t="shared" si="0"/>
        <v>2030</v>
      </c>
      <c r="L10" s="208">
        <f t="shared" si="0"/>
        <v>2031</v>
      </c>
      <c r="M10" s="208">
        <f>+L10+1</f>
        <v>2032</v>
      </c>
    </row>
    <row r="11" spans="1:37" ht="18.75" customHeight="1">
      <c r="B11" s="628"/>
      <c r="C11" s="628"/>
      <c r="D11" s="208" t="s">
        <v>266</v>
      </c>
      <c r="E11" s="208" t="s">
        <v>25</v>
      </c>
      <c r="F11" s="208" t="s">
        <v>319</v>
      </c>
      <c r="G11" s="208">
        <v>0</v>
      </c>
      <c r="H11" s="208">
        <v>1</v>
      </c>
      <c r="I11" s="208">
        <v>2</v>
      </c>
      <c r="J11" s="208">
        <v>3</v>
      </c>
      <c r="K11" s="208">
        <v>4</v>
      </c>
      <c r="L11" s="208">
        <v>5</v>
      </c>
      <c r="M11" s="208">
        <v>6</v>
      </c>
    </row>
    <row r="12" spans="1:37" ht="18.75" customHeight="1">
      <c r="B12" s="628"/>
      <c r="C12" s="628"/>
      <c r="D12" s="208" t="s">
        <v>15</v>
      </c>
      <c r="E12" s="208" t="s">
        <v>104</v>
      </c>
      <c r="F12" s="388">
        <f>+C5</f>
        <v>2.5000000000000001E-2</v>
      </c>
      <c r="G12" s="388">
        <f>+F12</f>
        <v>2.5000000000000001E-2</v>
      </c>
      <c r="H12" s="388">
        <f t="shared" ref="H12:L12" si="1">+G12</f>
        <v>2.5000000000000001E-2</v>
      </c>
      <c r="I12" s="388">
        <f t="shared" si="1"/>
        <v>2.5000000000000001E-2</v>
      </c>
      <c r="J12" s="388">
        <f t="shared" si="1"/>
        <v>2.5000000000000001E-2</v>
      </c>
      <c r="K12" s="388">
        <f t="shared" si="1"/>
        <v>2.5000000000000001E-2</v>
      </c>
      <c r="L12" s="388">
        <f t="shared" si="1"/>
        <v>2.5000000000000001E-2</v>
      </c>
      <c r="M12" s="388">
        <f>+L12</f>
        <v>2.5000000000000001E-2</v>
      </c>
      <c r="Y12" s="468"/>
      <c r="Z12" s="468"/>
      <c r="AA12" s="468"/>
      <c r="AB12" s="468"/>
      <c r="AC12" s="468"/>
      <c r="AD12" s="468"/>
      <c r="AE12" s="468"/>
      <c r="AF12" s="468"/>
      <c r="AG12" s="468"/>
      <c r="AH12" s="468"/>
      <c r="AI12" s="468"/>
      <c r="AJ12" s="468"/>
      <c r="AK12" s="468"/>
    </row>
    <row r="13" spans="1:37" ht="18.75" customHeight="1">
      <c r="B13" s="566" t="s">
        <v>262</v>
      </c>
      <c r="C13" s="216">
        <v>1</v>
      </c>
      <c r="D13" s="216" t="s">
        <v>264</v>
      </c>
      <c r="E13" s="191">
        <f>+'Cálculo TMDA'!L41</f>
        <v>2625.1404760714649</v>
      </c>
      <c r="F13" s="191">
        <f>E13*(1+F$12)</f>
        <v>2690.7689879732511</v>
      </c>
      <c r="G13" s="191">
        <f t="shared" ref="G13:L13" si="2">F13*(1+G$12)</f>
        <v>2758.0382126725822</v>
      </c>
      <c r="H13" s="191">
        <f t="shared" si="2"/>
        <v>2826.9891679893963</v>
      </c>
      <c r="I13" s="191">
        <f t="shared" si="2"/>
        <v>2897.6638971891307</v>
      </c>
      <c r="J13" s="191">
        <f t="shared" si="2"/>
        <v>2970.1054946188588</v>
      </c>
      <c r="K13" s="191">
        <f t="shared" si="2"/>
        <v>3044.3581319843302</v>
      </c>
      <c r="L13" s="191">
        <f t="shared" si="2"/>
        <v>3120.4670852839381</v>
      </c>
      <c r="M13" s="191">
        <f>L13*(1+M$12)</f>
        <v>3198.4787624160363</v>
      </c>
      <c r="V13" s="179"/>
      <c r="W13" s="179"/>
      <c r="X13" s="179"/>
      <c r="Y13" s="468"/>
      <c r="Z13" s="468"/>
      <c r="AA13" s="468"/>
      <c r="AB13" s="468"/>
      <c r="AC13" s="468"/>
      <c r="AD13" s="468"/>
      <c r="AE13" s="468"/>
      <c r="AF13" s="468"/>
      <c r="AG13" s="468"/>
      <c r="AH13" s="468"/>
      <c r="AI13" s="468"/>
      <c r="AJ13" s="468"/>
      <c r="AK13" s="468"/>
    </row>
    <row r="14" spans="1:37" ht="18.75" customHeight="1">
      <c r="B14" s="566"/>
      <c r="C14" s="216">
        <v>2</v>
      </c>
      <c r="D14" s="216" t="s">
        <v>263</v>
      </c>
      <c r="E14" s="191">
        <f>+'Cálculo TMDA'!L48</f>
        <v>1941.1404760714649</v>
      </c>
      <c r="F14" s="191">
        <f>E14*(1+F$12)</f>
        <v>1989.6689879732514</v>
      </c>
      <c r="G14" s="191">
        <f t="shared" ref="G14:L14" si="3">F14*(1+G$12)</f>
        <v>2039.4107126725826</v>
      </c>
      <c r="H14" s="191">
        <f t="shared" si="3"/>
        <v>2090.3959804893971</v>
      </c>
      <c r="I14" s="191">
        <f t="shared" si="3"/>
        <v>2142.6558800016319</v>
      </c>
      <c r="J14" s="191">
        <f t="shared" si="3"/>
        <v>2196.2222770016724</v>
      </c>
      <c r="K14" s="191">
        <f t="shared" si="3"/>
        <v>2251.1278339267142</v>
      </c>
      <c r="L14" s="191">
        <f t="shared" si="3"/>
        <v>2307.406029774882</v>
      </c>
      <c r="M14" s="191">
        <f>L14*(1+M$12)</f>
        <v>2365.0911805192536</v>
      </c>
      <c r="V14" s="179"/>
      <c r="W14" s="179"/>
      <c r="X14" s="179"/>
      <c r="Y14" s="468"/>
      <c r="Z14" s="468"/>
      <c r="AA14" s="468"/>
      <c r="AB14" s="468"/>
      <c r="AC14" s="468"/>
      <c r="AD14" s="468"/>
      <c r="AE14" s="468"/>
      <c r="AF14" s="468"/>
      <c r="AG14" s="468"/>
      <c r="AH14" s="468"/>
      <c r="AI14" s="468"/>
      <c r="AJ14" s="468"/>
      <c r="AK14" s="468"/>
    </row>
    <row r="15" spans="1:37">
      <c r="B15" s="359"/>
      <c r="C15" s="359"/>
      <c r="D15" s="359"/>
      <c r="E15" s="359"/>
      <c r="F15" s="359"/>
      <c r="G15" s="359"/>
      <c r="H15" s="359"/>
      <c r="I15" s="359"/>
      <c r="J15" s="359"/>
      <c r="K15" s="359"/>
      <c r="L15" s="359"/>
      <c r="V15" s="179"/>
      <c r="W15" s="179"/>
      <c r="X15" s="179"/>
      <c r="Y15" s="468"/>
      <c r="Z15" s="468"/>
      <c r="AA15" s="468"/>
      <c r="AB15" s="468"/>
      <c r="AC15" s="468"/>
      <c r="AD15" s="468"/>
      <c r="AE15" s="468"/>
      <c r="AF15" s="468"/>
      <c r="AG15" s="468"/>
      <c r="AH15" s="468"/>
      <c r="AI15" s="468"/>
      <c r="AJ15" s="468"/>
      <c r="AK15" s="468"/>
    </row>
    <row r="16" spans="1:37" ht="29.25" customHeight="1">
      <c r="B16" s="628" t="s">
        <v>101</v>
      </c>
      <c r="C16" s="628" t="s">
        <v>278</v>
      </c>
      <c r="D16" s="208" t="s">
        <v>103</v>
      </c>
      <c r="E16" s="208">
        <f>+M10+1</f>
        <v>2033</v>
      </c>
      <c r="F16" s="208">
        <f t="shared" ref="F16:L16" si="4">+E16+1</f>
        <v>2034</v>
      </c>
      <c r="G16" s="208">
        <f t="shared" si="4"/>
        <v>2035</v>
      </c>
      <c r="H16" s="208">
        <f t="shared" si="4"/>
        <v>2036</v>
      </c>
      <c r="I16" s="208">
        <f t="shared" si="4"/>
        <v>2037</v>
      </c>
      <c r="J16" s="208">
        <f t="shared" si="4"/>
        <v>2038</v>
      </c>
      <c r="K16" s="208">
        <f t="shared" si="4"/>
        <v>2039</v>
      </c>
      <c r="L16" s="208">
        <f t="shared" si="4"/>
        <v>2040</v>
      </c>
      <c r="V16" s="179"/>
      <c r="W16" s="179"/>
      <c r="X16" s="179"/>
      <c r="Y16" s="468"/>
      <c r="Z16" s="468"/>
      <c r="AA16" s="468"/>
      <c r="AB16" s="468"/>
      <c r="AC16" s="468"/>
      <c r="AD16" s="468"/>
      <c r="AE16" s="468"/>
      <c r="AF16" s="468"/>
      <c r="AG16" s="468"/>
      <c r="AH16" s="468"/>
      <c r="AI16" s="468"/>
      <c r="AJ16" s="468"/>
      <c r="AK16" s="468"/>
    </row>
    <row r="17" spans="1:37">
      <c r="B17" s="628"/>
      <c r="C17" s="628"/>
      <c r="D17" s="208" t="s">
        <v>266</v>
      </c>
      <c r="E17" s="208">
        <v>7</v>
      </c>
      <c r="F17" s="208">
        <v>8</v>
      </c>
      <c r="G17" s="208">
        <v>9</v>
      </c>
      <c r="H17" s="208">
        <v>10</v>
      </c>
      <c r="I17" s="208">
        <v>11</v>
      </c>
      <c r="J17" s="208">
        <v>12</v>
      </c>
      <c r="K17" s="208">
        <v>13</v>
      </c>
      <c r="L17" s="208">
        <v>14</v>
      </c>
      <c r="V17" s="179"/>
      <c r="W17" s="179"/>
      <c r="X17" s="179"/>
      <c r="Y17" s="468"/>
      <c r="Z17" s="468"/>
      <c r="AA17" s="468"/>
      <c r="AB17" s="468"/>
      <c r="AC17" s="468"/>
      <c r="AD17" s="468"/>
      <c r="AE17" s="468"/>
      <c r="AF17" s="468"/>
      <c r="AG17" s="468"/>
      <c r="AH17" s="468"/>
      <c r="AI17" s="468"/>
      <c r="AJ17" s="468"/>
      <c r="AK17" s="468"/>
    </row>
    <row r="18" spans="1:37">
      <c r="B18" s="628"/>
      <c r="C18" s="628"/>
      <c r="D18" s="208" t="s">
        <v>15</v>
      </c>
      <c r="E18" s="388">
        <f>+M12</f>
        <v>2.5000000000000001E-2</v>
      </c>
      <c r="F18" s="388">
        <f t="shared" ref="F18:L18" si="5">+E18</f>
        <v>2.5000000000000001E-2</v>
      </c>
      <c r="G18" s="388">
        <f t="shared" si="5"/>
        <v>2.5000000000000001E-2</v>
      </c>
      <c r="H18" s="388">
        <f t="shared" si="5"/>
        <v>2.5000000000000001E-2</v>
      </c>
      <c r="I18" s="388">
        <f t="shared" si="5"/>
        <v>2.5000000000000001E-2</v>
      </c>
      <c r="J18" s="388">
        <f t="shared" si="5"/>
        <v>2.5000000000000001E-2</v>
      </c>
      <c r="K18" s="388">
        <f t="shared" si="5"/>
        <v>2.5000000000000001E-2</v>
      </c>
      <c r="L18" s="388">
        <f t="shared" si="5"/>
        <v>2.5000000000000001E-2</v>
      </c>
      <c r="V18" s="179"/>
      <c r="W18" s="179"/>
      <c r="X18" s="179"/>
      <c r="Y18" s="468"/>
      <c r="Z18" s="468"/>
      <c r="AA18" s="468"/>
      <c r="AB18" s="468"/>
      <c r="AC18" s="468"/>
      <c r="AD18" s="468"/>
      <c r="AE18" s="468"/>
      <c r="AF18" s="468"/>
      <c r="AG18" s="468"/>
      <c r="AH18" s="468"/>
      <c r="AI18" s="468"/>
      <c r="AJ18" s="468"/>
      <c r="AK18" s="468"/>
    </row>
    <row r="19" spans="1:37" ht="18.75" customHeight="1">
      <c r="B19" s="566" t="s">
        <v>262</v>
      </c>
      <c r="C19" s="216">
        <v>1</v>
      </c>
      <c r="D19" s="216" t="s">
        <v>264</v>
      </c>
      <c r="E19" s="191">
        <f>M13*(1+E$18)</f>
        <v>3278.4407314764367</v>
      </c>
      <c r="F19" s="191">
        <f t="shared" ref="F19:L20" si="6">E19*(1+F$18)</f>
        <v>3360.4017497633472</v>
      </c>
      <c r="G19" s="191">
        <f t="shared" si="6"/>
        <v>3444.4117935074305</v>
      </c>
      <c r="H19" s="191">
        <f t="shared" si="6"/>
        <v>3530.5220883451161</v>
      </c>
      <c r="I19" s="191">
        <f t="shared" si="6"/>
        <v>3618.7851405537435</v>
      </c>
      <c r="J19" s="191">
        <f t="shared" si="6"/>
        <v>3709.2547690675869</v>
      </c>
      <c r="K19" s="191">
        <f t="shared" si="6"/>
        <v>3801.9861382942763</v>
      </c>
      <c r="L19" s="191">
        <f t="shared" si="6"/>
        <v>3897.035791751633</v>
      </c>
      <c r="V19" s="179"/>
      <c r="W19" s="179"/>
      <c r="X19" s="179"/>
      <c r="Y19" s="468"/>
      <c r="Z19" s="468"/>
      <c r="AA19" s="468"/>
      <c r="AB19" s="468"/>
      <c r="AC19" s="468"/>
      <c r="AD19" s="468"/>
      <c r="AE19" s="468"/>
      <c r="AF19" s="468"/>
      <c r="AG19" s="468"/>
      <c r="AH19" s="468"/>
      <c r="AI19" s="468"/>
      <c r="AJ19" s="468"/>
      <c r="AK19" s="468"/>
    </row>
    <row r="20" spans="1:37" ht="18.75" customHeight="1">
      <c r="B20" s="566"/>
      <c r="C20" s="216">
        <v>2</v>
      </c>
      <c r="D20" s="216" t="s">
        <v>263</v>
      </c>
      <c r="E20" s="191">
        <f>M14*(1+E$18)</f>
        <v>2424.2184600322348</v>
      </c>
      <c r="F20" s="191">
        <f t="shared" si="6"/>
        <v>2484.8239215330404</v>
      </c>
      <c r="G20" s="191">
        <f t="shared" si="6"/>
        <v>2546.9445195713661</v>
      </c>
      <c r="H20" s="191">
        <f t="shared" si="6"/>
        <v>2610.6181325606499</v>
      </c>
      <c r="I20" s="191">
        <f t="shared" si="6"/>
        <v>2675.8835858746661</v>
      </c>
      <c r="J20" s="191">
        <f t="shared" si="6"/>
        <v>2742.7806755215324</v>
      </c>
      <c r="K20" s="191">
        <f t="shared" si="6"/>
        <v>2811.3501924095704</v>
      </c>
      <c r="L20" s="191">
        <f t="shared" si="6"/>
        <v>2881.6339472198092</v>
      </c>
      <c r="V20" s="179"/>
      <c r="W20" s="179"/>
      <c r="X20" s="179"/>
      <c r="Y20" s="468"/>
      <c r="Z20" s="468"/>
      <c r="AA20" s="468"/>
      <c r="AB20" s="468"/>
      <c r="AC20" s="468"/>
      <c r="AD20" s="468"/>
      <c r="AE20" s="468"/>
      <c r="AF20" s="468"/>
      <c r="AG20" s="468"/>
      <c r="AH20" s="468"/>
      <c r="AI20" s="468"/>
      <c r="AJ20" s="468"/>
      <c r="AK20" s="468"/>
    </row>
    <row r="21" spans="1:37">
      <c r="A21" s="444"/>
      <c r="B21" s="445"/>
      <c r="C21" s="445"/>
      <c r="D21" s="445"/>
      <c r="E21" s="445"/>
      <c r="F21" s="445"/>
      <c r="G21" s="445"/>
      <c r="H21" s="445"/>
      <c r="I21" s="445"/>
      <c r="J21" s="445"/>
      <c r="K21" s="445"/>
      <c r="L21" s="445"/>
      <c r="M21" s="446"/>
      <c r="V21" s="179"/>
      <c r="W21" s="179"/>
      <c r="X21" s="179"/>
      <c r="Y21" s="468"/>
      <c r="Z21" s="468"/>
      <c r="AA21" s="468"/>
      <c r="AB21" s="468"/>
      <c r="AC21" s="468"/>
      <c r="AD21" s="468"/>
      <c r="AE21" s="468"/>
      <c r="AF21" s="468"/>
      <c r="AG21" s="468"/>
      <c r="AH21" s="468"/>
      <c r="AI21" s="468"/>
      <c r="AJ21" s="468"/>
      <c r="AK21" s="468"/>
    </row>
    <row r="22" spans="1:37">
      <c r="B22" s="628" t="s">
        <v>101</v>
      </c>
      <c r="C22" s="628" t="s">
        <v>278</v>
      </c>
      <c r="D22" s="208" t="s">
        <v>103</v>
      </c>
      <c r="E22" s="208">
        <f>+L16+1</f>
        <v>2041</v>
      </c>
      <c r="F22" s="208">
        <f t="shared" ref="F22" si="7">+E22+1</f>
        <v>2042</v>
      </c>
      <c r="G22" s="208">
        <f t="shared" ref="G22" si="8">+F22+1</f>
        <v>2043</v>
      </c>
      <c r="H22" s="208">
        <f t="shared" ref="H22" si="9">+G22+1</f>
        <v>2044</v>
      </c>
      <c r="I22" s="208">
        <f t="shared" ref="I22" si="10">+H22+1</f>
        <v>2045</v>
      </c>
      <c r="J22" s="208">
        <f>+I22+1</f>
        <v>2046</v>
      </c>
      <c r="K22" s="208">
        <f t="shared" ref="K22" si="11">+J22+1</f>
        <v>2047</v>
      </c>
      <c r="L22" s="208">
        <f>+K22+1</f>
        <v>2048</v>
      </c>
      <c r="V22" s="179"/>
      <c r="W22" s="179"/>
      <c r="X22" s="179"/>
      <c r="Y22" s="468"/>
      <c r="Z22" s="468"/>
      <c r="AA22" s="468"/>
      <c r="AB22" s="468"/>
      <c r="AC22" s="468"/>
      <c r="AD22" s="468"/>
      <c r="AE22" s="468"/>
      <c r="AF22" s="468"/>
      <c r="AG22" s="468"/>
      <c r="AH22" s="468"/>
      <c r="AI22" s="468"/>
      <c r="AJ22" s="468"/>
      <c r="AK22" s="468"/>
    </row>
    <row r="23" spans="1:37" ht="29.25" customHeight="1">
      <c r="B23" s="628"/>
      <c r="C23" s="628"/>
      <c r="D23" s="208" t="s">
        <v>266</v>
      </c>
      <c r="E23" s="208">
        <v>15</v>
      </c>
      <c r="F23" s="208">
        <v>16</v>
      </c>
      <c r="G23" s="208">
        <v>17</v>
      </c>
      <c r="H23" s="208">
        <v>18</v>
      </c>
      <c r="I23" s="208">
        <v>19</v>
      </c>
      <c r="J23" s="208">
        <v>20</v>
      </c>
      <c r="K23" s="208">
        <v>21</v>
      </c>
      <c r="L23" s="208">
        <v>22</v>
      </c>
      <c r="V23" s="179"/>
      <c r="W23" s="179"/>
      <c r="X23" s="179"/>
      <c r="Y23" s="468"/>
      <c r="Z23" s="468"/>
      <c r="AA23" s="468"/>
      <c r="AB23" s="468"/>
      <c r="AC23" s="468"/>
      <c r="AD23" s="468"/>
      <c r="AE23" s="468"/>
      <c r="AF23" s="468"/>
      <c r="AG23" s="468"/>
      <c r="AH23" s="468"/>
      <c r="AI23" s="468"/>
      <c r="AJ23" s="468"/>
      <c r="AK23" s="468"/>
    </row>
    <row r="24" spans="1:37">
      <c r="B24" s="628"/>
      <c r="C24" s="628"/>
      <c r="D24" s="208" t="s">
        <v>15</v>
      </c>
      <c r="E24" s="388">
        <f>+L18</f>
        <v>2.5000000000000001E-2</v>
      </c>
      <c r="F24" s="388">
        <f t="shared" ref="F24:L24" si="12">+E24</f>
        <v>2.5000000000000001E-2</v>
      </c>
      <c r="G24" s="388">
        <f t="shared" si="12"/>
        <v>2.5000000000000001E-2</v>
      </c>
      <c r="H24" s="388">
        <f t="shared" si="12"/>
        <v>2.5000000000000001E-2</v>
      </c>
      <c r="I24" s="388">
        <f t="shared" si="12"/>
        <v>2.5000000000000001E-2</v>
      </c>
      <c r="J24" s="388">
        <f t="shared" si="12"/>
        <v>2.5000000000000001E-2</v>
      </c>
      <c r="K24" s="388">
        <f t="shared" si="12"/>
        <v>2.5000000000000001E-2</v>
      </c>
      <c r="L24" s="388">
        <f t="shared" si="12"/>
        <v>2.5000000000000001E-2</v>
      </c>
      <c r="V24" s="179"/>
      <c r="W24" s="179"/>
      <c r="X24" s="179"/>
      <c r="Y24" s="468"/>
      <c r="Z24" s="468"/>
      <c r="AA24" s="468"/>
      <c r="AB24" s="468"/>
      <c r="AC24" s="468"/>
      <c r="AD24" s="468"/>
      <c r="AE24" s="468"/>
      <c r="AF24" s="468"/>
      <c r="AG24" s="468"/>
      <c r="AH24" s="468"/>
      <c r="AI24" s="468"/>
      <c r="AJ24" s="468"/>
      <c r="AK24" s="468"/>
    </row>
    <row r="25" spans="1:37" ht="18.75" customHeight="1">
      <c r="B25" s="566" t="s">
        <v>262</v>
      </c>
      <c r="C25" s="216">
        <v>1</v>
      </c>
      <c r="D25" s="216" t="s">
        <v>264</v>
      </c>
      <c r="E25" s="191">
        <f>L19*(1+E$24)</f>
        <v>3994.4616865454236</v>
      </c>
      <c r="F25" s="191">
        <f t="shared" ref="F25:L26" si="13">E25*(1+F$24)</f>
        <v>4094.3232287090586</v>
      </c>
      <c r="G25" s="191">
        <f t="shared" si="13"/>
        <v>4196.6813094267845</v>
      </c>
      <c r="H25" s="191">
        <f t="shared" si="13"/>
        <v>4301.5983421624542</v>
      </c>
      <c r="I25" s="191">
        <f t="shared" si="13"/>
        <v>4409.138300716515</v>
      </c>
      <c r="J25" s="191">
        <f t="shared" si="13"/>
        <v>4519.3667582344278</v>
      </c>
      <c r="K25" s="191">
        <f t="shared" si="13"/>
        <v>4632.3509271902885</v>
      </c>
      <c r="L25" s="191">
        <f t="shared" si="13"/>
        <v>4748.1597003700454</v>
      </c>
      <c r="V25" s="179"/>
      <c r="W25" s="179"/>
      <c r="X25" s="179"/>
      <c r="Y25" s="468"/>
      <c r="Z25" s="468"/>
      <c r="AA25" s="468"/>
      <c r="AB25" s="468"/>
      <c r="AC25" s="468"/>
      <c r="AD25" s="468"/>
      <c r="AE25" s="468"/>
      <c r="AF25" s="468"/>
      <c r="AG25" s="468"/>
      <c r="AH25" s="468"/>
      <c r="AI25" s="468"/>
      <c r="AJ25" s="468"/>
      <c r="AK25" s="468"/>
    </row>
    <row r="26" spans="1:37" ht="18.75" customHeight="1">
      <c r="B26" s="566"/>
      <c r="C26" s="216">
        <v>2</v>
      </c>
      <c r="D26" s="216" t="s">
        <v>263</v>
      </c>
      <c r="E26" s="191">
        <f>L20*(1+E$24)</f>
        <v>2953.6747959003042</v>
      </c>
      <c r="F26" s="191">
        <f t="shared" si="13"/>
        <v>3027.5166657978116</v>
      </c>
      <c r="G26" s="191">
        <f t="shared" si="13"/>
        <v>3103.2045824427564</v>
      </c>
      <c r="H26" s="191">
        <f t="shared" si="13"/>
        <v>3180.7846970038249</v>
      </c>
      <c r="I26" s="191">
        <f t="shared" si="13"/>
        <v>3260.3043144289204</v>
      </c>
      <c r="J26" s="191">
        <f t="shared" si="13"/>
        <v>3341.811922289643</v>
      </c>
      <c r="K26" s="191">
        <f t="shared" si="13"/>
        <v>3425.3572203468839</v>
      </c>
      <c r="L26" s="191">
        <f t="shared" si="13"/>
        <v>3510.9911508555556</v>
      </c>
      <c r="V26" s="179"/>
      <c r="W26" s="179"/>
      <c r="X26" s="179"/>
      <c r="Y26" s="468"/>
      <c r="Z26" s="468"/>
      <c r="AA26" s="468"/>
      <c r="AB26" s="468"/>
      <c r="AC26" s="468"/>
      <c r="AD26" s="468"/>
      <c r="AE26" s="468"/>
      <c r="AF26" s="468"/>
      <c r="AG26" s="468"/>
      <c r="AH26" s="468"/>
      <c r="AI26" s="468"/>
      <c r="AJ26" s="468"/>
      <c r="AK26" s="468"/>
    </row>
    <row r="27" spans="1:37">
      <c r="B27"/>
      <c r="C27"/>
      <c r="D27"/>
      <c r="E27"/>
      <c r="F27"/>
      <c r="G27"/>
      <c r="H27"/>
      <c r="I27"/>
      <c r="J27"/>
      <c r="K27"/>
      <c r="L27"/>
      <c r="M27"/>
      <c r="N27"/>
      <c r="V27" s="179"/>
      <c r="W27" s="179"/>
      <c r="X27" s="179"/>
      <c r="Y27" s="468"/>
      <c r="Z27" s="468"/>
      <c r="AA27" s="468"/>
      <c r="AB27" s="468"/>
      <c r="AC27" s="468"/>
      <c r="AD27" s="468"/>
      <c r="AE27" s="468"/>
      <c r="AF27" s="468"/>
      <c r="AG27" s="468"/>
      <c r="AH27" s="468"/>
      <c r="AI27" s="468"/>
      <c r="AJ27" s="468"/>
      <c r="AK27" s="468"/>
    </row>
    <row r="28" spans="1:37">
      <c r="B28" s="628" t="s">
        <v>101</v>
      </c>
      <c r="C28" s="628" t="s">
        <v>278</v>
      </c>
      <c r="D28" s="208" t="s">
        <v>103</v>
      </c>
      <c r="E28" s="208">
        <f>+L22+1</f>
        <v>2049</v>
      </c>
      <c r="F28" s="208">
        <f t="shared" ref="F28" si="14">+E28+1</f>
        <v>2050</v>
      </c>
      <c r="G28" s="208">
        <f t="shared" ref="G28" si="15">+F28+1</f>
        <v>2051</v>
      </c>
      <c r="H28" s="208">
        <f t="shared" ref="H28" si="16">+G28+1</f>
        <v>2052</v>
      </c>
      <c r="I28" s="208">
        <f t="shared" ref="I28" si="17">+H28+1</f>
        <v>2053</v>
      </c>
      <c r="J28" s="208">
        <f t="shared" ref="J28" si="18">+I28+1</f>
        <v>2054</v>
      </c>
      <c r="K28" s="208">
        <f t="shared" ref="K28" si="19">+J28+1</f>
        <v>2055</v>
      </c>
      <c r="L28" s="208">
        <f t="shared" ref="L28" si="20">+K28+1</f>
        <v>2056</v>
      </c>
      <c r="M28"/>
      <c r="N28"/>
      <c r="V28" s="179"/>
      <c r="W28" s="179"/>
      <c r="X28" s="179"/>
      <c r="Y28" s="468"/>
      <c r="Z28" s="468"/>
      <c r="AA28" s="468"/>
      <c r="AB28" s="468"/>
      <c r="AC28" s="468"/>
      <c r="AD28" s="468"/>
      <c r="AE28" s="468"/>
      <c r="AF28" s="468"/>
      <c r="AG28" s="468"/>
      <c r="AH28" s="468"/>
      <c r="AI28" s="468"/>
      <c r="AJ28" s="468"/>
      <c r="AK28" s="468"/>
    </row>
    <row r="29" spans="1:37">
      <c r="B29" s="628"/>
      <c r="C29" s="628"/>
      <c r="D29" s="208" t="s">
        <v>266</v>
      </c>
      <c r="E29" s="208">
        <v>23</v>
      </c>
      <c r="F29" s="208">
        <v>24</v>
      </c>
      <c r="G29" s="208">
        <v>25</v>
      </c>
      <c r="H29" s="208">
        <v>26</v>
      </c>
      <c r="I29" s="208">
        <v>27</v>
      </c>
      <c r="J29" s="208">
        <v>28</v>
      </c>
      <c r="K29" s="208">
        <v>29</v>
      </c>
      <c r="L29" s="208">
        <v>30</v>
      </c>
      <c r="M29"/>
      <c r="N29"/>
      <c r="V29" s="179"/>
      <c r="W29" s="179"/>
      <c r="X29" s="179"/>
      <c r="Y29" s="468"/>
      <c r="Z29" s="468"/>
      <c r="AA29" s="468"/>
      <c r="AB29" s="468"/>
      <c r="AC29" s="468"/>
      <c r="AD29" s="468"/>
      <c r="AE29" s="468"/>
      <c r="AF29" s="468"/>
      <c r="AG29" s="468"/>
      <c r="AH29" s="468"/>
      <c r="AI29" s="468"/>
      <c r="AJ29" s="468"/>
      <c r="AK29" s="468"/>
    </row>
    <row r="30" spans="1:37">
      <c r="B30" s="628"/>
      <c r="C30" s="628"/>
      <c r="D30" s="208" t="s">
        <v>15</v>
      </c>
      <c r="E30" s="388">
        <f>+L24</f>
        <v>2.5000000000000001E-2</v>
      </c>
      <c r="F30" s="388">
        <f t="shared" ref="F30:L30" si="21">+E30</f>
        <v>2.5000000000000001E-2</v>
      </c>
      <c r="G30" s="388">
        <f t="shared" si="21"/>
        <v>2.5000000000000001E-2</v>
      </c>
      <c r="H30" s="388">
        <f t="shared" si="21"/>
        <v>2.5000000000000001E-2</v>
      </c>
      <c r="I30" s="388">
        <f t="shared" si="21"/>
        <v>2.5000000000000001E-2</v>
      </c>
      <c r="J30" s="388">
        <f t="shared" si="21"/>
        <v>2.5000000000000001E-2</v>
      </c>
      <c r="K30" s="388">
        <f t="shared" si="21"/>
        <v>2.5000000000000001E-2</v>
      </c>
      <c r="L30" s="388">
        <f t="shared" si="21"/>
        <v>2.5000000000000001E-2</v>
      </c>
      <c r="V30" s="179"/>
      <c r="W30" s="179"/>
      <c r="X30" s="179"/>
      <c r="Y30" s="468"/>
      <c r="Z30" s="468"/>
      <c r="AA30" s="468"/>
      <c r="AB30" s="468"/>
      <c r="AC30" s="468"/>
      <c r="AD30" s="468"/>
      <c r="AE30" s="468"/>
      <c r="AF30" s="468"/>
      <c r="AG30" s="468"/>
      <c r="AH30" s="468"/>
      <c r="AI30" s="468"/>
      <c r="AJ30" s="468"/>
      <c r="AK30" s="468"/>
    </row>
    <row r="31" spans="1:37" ht="18.75" customHeight="1">
      <c r="B31" s="566" t="s">
        <v>262</v>
      </c>
      <c r="C31" s="216">
        <v>1</v>
      </c>
      <c r="D31" s="216" t="s">
        <v>264</v>
      </c>
      <c r="E31" s="191">
        <f>L25*(1+E$30)</f>
        <v>4866.8636928792957</v>
      </c>
      <c r="F31" s="191">
        <f t="shared" ref="F31:L32" si="22">E31*(1+F$30)</f>
        <v>4988.5352852012775</v>
      </c>
      <c r="G31" s="191">
        <f t="shared" si="22"/>
        <v>5113.2486673313088</v>
      </c>
      <c r="H31" s="191">
        <f t="shared" si="22"/>
        <v>5241.0798840145908</v>
      </c>
      <c r="I31" s="191">
        <f t="shared" si="22"/>
        <v>5372.1068811149553</v>
      </c>
      <c r="J31" s="191">
        <f t="shared" si="22"/>
        <v>5506.4095531428284</v>
      </c>
      <c r="K31" s="191">
        <f t="shared" si="22"/>
        <v>5644.0697919713984</v>
      </c>
      <c r="L31" s="191">
        <f t="shared" si="22"/>
        <v>5785.1715367706829</v>
      </c>
      <c r="V31" s="179"/>
      <c r="W31" s="179"/>
      <c r="X31" s="179"/>
      <c r="Y31" s="468"/>
      <c r="Z31" s="468"/>
      <c r="AA31" s="468"/>
      <c r="AB31" s="468"/>
      <c r="AC31" s="468"/>
      <c r="AD31" s="468"/>
      <c r="AE31" s="468"/>
      <c r="AF31" s="468"/>
      <c r="AG31" s="468"/>
      <c r="AH31" s="468"/>
      <c r="AI31" s="468"/>
      <c r="AJ31" s="468"/>
      <c r="AK31" s="468"/>
    </row>
    <row r="32" spans="1:37" ht="18.75" customHeight="1">
      <c r="B32" s="566"/>
      <c r="C32" s="216">
        <v>2</v>
      </c>
      <c r="D32" s="216" t="s">
        <v>263</v>
      </c>
      <c r="E32" s="191">
        <f>L26*(1+E$30)</f>
        <v>3598.7659296269439</v>
      </c>
      <c r="F32" s="191">
        <f t="shared" si="22"/>
        <v>3688.7350778676173</v>
      </c>
      <c r="G32" s="191">
        <f t="shared" si="22"/>
        <v>3780.9534548143074</v>
      </c>
      <c r="H32" s="191">
        <f t="shared" si="22"/>
        <v>3875.4772911846649</v>
      </c>
      <c r="I32" s="191">
        <f t="shared" si="22"/>
        <v>3972.3642234642812</v>
      </c>
      <c r="J32" s="191">
        <f t="shared" si="22"/>
        <v>4071.6733290508878</v>
      </c>
      <c r="K32" s="191">
        <f t="shared" si="22"/>
        <v>4173.4651622771598</v>
      </c>
      <c r="L32" s="191">
        <f t="shared" si="22"/>
        <v>4277.8017913340882</v>
      </c>
      <c r="V32" s="179"/>
      <c r="W32" s="179"/>
      <c r="X32" s="179"/>
      <c r="Y32" s="468"/>
      <c r="Z32" s="468"/>
      <c r="AA32" s="468"/>
      <c r="AB32" s="468"/>
      <c r="AC32" s="468"/>
      <c r="AD32" s="468"/>
      <c r="AE32" s="468"/>
      <c r="AF32" s="468"/>
      <c r="AG32" s="468"/>
      <c r="AH32" s="468"/>
      <c r="AI32" s="468"/>
      <c r="AJ32" s="468"/>
      <c r="AK32" s="468"/>
    </row>
    <row r="33" spans="2:37">
      <c r="H33" s="390"/>
      <c r="I33" s="359"/>
      <c r="J33" s="359"/>
      <c r="K33" s="359"/>
      <c r="L33" s="360"/>
      <c r="V33" s="179"/>
      <c r="W33" s="179"/>
      <c r="X33" s="179"/>
      <c r="Y33" s="468"/>
      <c r="Z33" s="468"/>
      <c r="AA33" s="468"/>
      <c r="AB33" s="468"/>
      <c r="AC33" s="468"/>
      <c r="AD33" s="468"/>
      <c r="AE33" s="468"/>
      <c r="AF33" s="468"/>
      <c r="AG33" s="468"/>
      <c r="AH33" s="468"/>
      <c r="AI33" s="468"/>
      <c r="AJ33" s="468"/>
      <c r="AK33" s="468"/>
    </row>
    <row r="34" spans="2:37">
      <c r="H34" s="390"/>
      <c r="I34" s="359"/>
      <c r="J34" s="359"/>
      <c r="K34" s="359"/>
      <c r="L34" s="360"/>
      <c r="V34" s="179"/>
      <c r="W34" s="179"/>
      <c r="X34" s="179"/>
      <c r="Y34" s="468"/>
      <c r="Z34" s="468"/>
      <c r="AA34" s="468"/>
      <c r="AB34" s="468"/>
      <c r="AC34" s="468"/>
      <c r="AD34" s="468"/>
      <c r="AE34" s="468"/>
      <c r="AF34" s="468"/>
      <c r="AG34" s="468"/>
      <c r="AH34" s="468"/>
      <c r="AI34" s="468"/>
      <c r="AJ34" s="468"/>
      <c r="AK34" s="468"/>
    </row>
    <row r="35" spans="2:37" ht="15.75" thickBot="1">
      <c r="H35" s="390"/>
      <c r="I35" s="359"/>
      <c r="J35" s="359"/>
      <c r="K35" s="359"/>
      <c r="L35" s="360"/>
      <c r="M35" s="360"/>
      <c r="N35" s="360"/>
      <c r="O35" s="360"/>
      <c r="P35" s="360"/>
      <c r="Q35" s="360"/>
      <c r="R35" s="360"/>
      <c r="S35" s="360"/>
      <c r="T35" s="360"/>
      <c r="Y35" s="468"/>
      <c r="Z35" s="468"/>
      <c r="AA35" s="468"/>
      <c r="AB35" s="468"/>
      <c r="AC35" s="468"/>
      <c r="AD35" s="468"/>
      <c r="AE35" s="468"/>
      <c r="AF35" s="468"/>
      <c r="AG35" s="468"/>
      <c r="AH35" s="468"/>
      <c r="AI35" s="468"/>
      <c r="AJ35" s="468"/>
      <c r="AK35" s="468"/>
    </row>
    <row r="36" spans="2:37" ht="55.5" customHeight="1">
      <c r="B36" s="629" t="str">
        <f>+B9</f>
        <v xml:space="preserve">PROYECCIÓN </v>
      </c>
      <c r="C36" s="630"/>
      <c r="D36" s="630"/>
      <c r="E36" s="455" t="s">
        <v>277</v>
      </c>
      <c r="F36" s="455" t="s">
        <v>320</v>
      </c>
      <c r="G36" s="455" t="s">
        <v>310</v>
      </c>
      <c r="H36" s="456" t="s">
        <v>309</v>
      </c>
    </row>
    <row r="37" spans="2:37" ht="21.75" customHeight="1">
      <c r="B37" s="457" t="s">
        <v>101</v>
      </c>
      <c r="C37" s="208" t="s">
        <v>102</v>
      </c>
      <c r="D37" s="389" t="s">
        <v>15</v>
      </c>
      <c r="E37" s="442">
        <v>2024</v>
      </c>
      <c r="F37" s="442">
        <v>2026</v>
      </c>
      <c r="G37" s="442">
        <v>2041</v>
      </c>
      <c r="H37" s="458">
        <v>2056</v>
      </c>
      <c r="I37" s="359"/>
      <c r="J37" s="359"/>
      <c r="K37" s="359"/>
      <c r="L37" s="360"/>
      <c r="M37" s="360"/>
      <c r="N37" s="360"/>
      <c r="O37" s="360"/>
      <c r="P37" s="360"/>
      <c r="Q37" s="360"/>
      <c r="R37" s="360"/>
      <c r="S37" s="360"/>
      <c r="T37" s="360"/>
    </row>
    <row r="38" spans="2:37">
      <c r="B38" s="631" t="s">
        <v>262</v>
      </c>
      <c r="C38" s="216">
        <v>1</v>
      </c>
      <c r="D38" s="216" t="s">
        <v>264</v>
      </c>
      <c r="E38" s="443">
        <f>+E13</f>
        <v>2625.1404760714649</v>
      </c>
      <c r="F38" s="443">
        <f>+G13</f>
        <v>2758.0382126725822</v>
      </c>
      <c r="G38" s="443">
        <f>+E25</f>
        <v>3994.4616865454236</v>
      </c>
      <c r="H38" s="459">
        <f>+L31</f>
        <v>5785.1715367706829</v>
      </c>
    </row>
    <row r="39" spans="2:37" ht="15.75" thickBot="1">
      <c r="B39" s="632"/>
      <c r="C39" s="451">
        <v>2</v>
      </c>
      <c r="D39" s="451" t="s">
        <v>263</v>
      </c>
      <c r="E39" s="460">
        <f>+E14</f>
        <v>1941.1404760714649</v>
      </c>
      <c r="F39" s="460">
        <f>+G14</f>
        <v>2039.4107126725826</v>
      </c>
      <c r="G39" s="460">
        <f>+E26</f>
        <v>2953.6747959003042</v>
      </c>
      <c r="H39" s="461">
        <f>+L32</f>
        <v>4277.8017913340882</v>
      </c>
    </row>
    <row r="40" spans="2:37">
      <c r="B40" s="454"/>
      <c r="C40" s="454"/>
      <c r="D40" s="454"/>
      <c r="E40" s="454"/>
      <c r="F40" s="454"/>
      <c r="G40" s="454"/>
    </row>
    <row r="41" spans="2:37">
      <c r="B41" s="359"/>
      <c r="C41" s="359"/>
      <c r="D41" s="359"/>
      <c r="E41" s="359"/>
      <c r="F41" s="359"/>
      <c r="G41" s="359"/>
    </row>
    <row r="42" spans="2:37">
      <c r="B42" s="359"/>
      <c r="C42" s="359"/>
      <c r="D42" s="359"/>
      <c r="E42" s="359"/>
      <c r="F42" s="359"/>
      <c r="G42" s="359"/>
    </row>
    <row r="43" spans="2:37">
      <c r="B43" s="359"/>
      <c r="C43" s="359"/>
      <c r="D43" s="359"/>
      <c r="E43" s="359"/>
      <c r="F43" s="359"/>
      <c r="G43" s="359"/>
    </row>
    <row r="44" spans="2:37">
      <c r="B44" s="359"/>
      <c r="C44" s="359"/>
      <c r="D44" s="359"/>
      <c r="E44" s="359"/>
      <c r="F44" s="359"/>
      <c r="G44" s="359"/>
    </row>
    <row r="45" spans="2:37">
      <c r="B45" s="359"/>
      <c r="C45" s="359"/>
      <c r="D45" s="359"/>
      <c r="E45" s="359"/>
      <c r="F45" s="359"/>
      <c r="G45" s="359"/>
    </row>
    <row r="46" spans="2:37">
      <c r="B46" s="359"/>
      <c r="C46" s="359"/>
      <c r="D46" s="359"/>
      <c r="E46" s="359"/>
      <c r="F46" s="359"/>
      <c r="G46" s="359"/>
    </row>
    <row r="47" spans="2:37">
      <c r="B47" s="359"/>
      <c r="C47" s="359"/>
      <c r="D47" s="359"/>
      <c r="E47" s="359"/>
      <c r="F47" s="359"/>
      <c r="G47" s="359"/>
    </row>
    <row r="48" spans="2:37">
      <c r="B48" s="359"/>
      <c r="C48" s="359"/>
      <c r="D48" s="359"/>
      <c r="E48" s="359"/>
      <c r="F48" s="359"/>
      <c r="G48" s="359"/>
    </row>
    <row r="49" spans="2:7">
      <c r="B49" s="359"/>
      <c r="C49" s="359"/>
      <c r="D49" s="359"/>
      <c r="E49" s="359"/>
      <c r="F49" s="359"/>
      <c r="G49" s="359"/>
    </row>
    <row r="50" spans="2:7">
      <c r="B50" s="359"/>
      <c r="C50" s="359"/>
      <c r="D50" s="359"/>
      <c r="E50" s="359"/>
      <c r="F50" s="359"/>
      <c r="G50" s="359"/>
    </row>
  </sheetData>
  <mergeCells count="18">
    <mergeCell ref="I1:L1"/>
    <mergeCell ref="B9:E9"/>
    <mergeCell ref="B10:B12"/>
    <mergeCell ref="C10:C12"/>
    <mergeCell ref="B3:B4"/>
    <mergeCell ref="B2:C2"/>
    <mergeCell ref="C22:C24"/>
    <mergeCell ref="B25:B26"/>
    <mergeCell ref="B36:D36"/>
    <mergeCell ref="B38:B39"/>
    <mergeCell ref="B13:B14"/>
    <mergeCell ref="B28:B30"/>
    <mergeCell ref="C28:C30"/>
    <mergeCell ref="B31:B32"/>
    <mergeCell ref="B16:B18"/>
    <mergeCell ref="C16:C18"/>
    <mergeCell ref="B19:B20"/>
    <mergeCell ref="B22:B24"/>
  </mergeCells>
  <phoneticPr fontId="24" type="noConversion"/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RN12</vt:lpstr>
      <vt:lpstr>Clasificacion DNV</vt:lpstr>
      <vt:lpstr>Tabla TMDA y Clasif. Informe</vt:lpstr>
      <vt:lpstr>Censo NN - P1</vt:lpstr>
      <vt:lpstr>Censo NN - P2</vt:lpstr>
      <vt:lpstr>Censo NN - P3</vt:lpstr>
      <vt:lpstr>Cálculo TMDA</vt:lpstr>
      <vt:lpstr>Clasificación Proyecto</vt:lpstr>
      <vt:lpstr>Circunvalación Proyección</vt:lpstr>
      <vt:lpstr>Proyecciones PEAJES (2)</vt:lpstr>
      <vt:lpstr>'Proyecciones PEAJES (2)'!Área_de_impresión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C</dc:creator>
  <cp:lastModifiedBy>Usuario</cp:lastModifiedBy>
  <cp:lastPrinted>2024-08-26T17:20:33Z</cp:lastPrinted>
  <dcterms:created xsi:type="dcterms:W3CDTF">2024-08-21T15:22:43Z</dcterms:created>
  <dcterms:modified xsi:type="dcterms:W3CDTF">2024-10-22T16:45:00Z</dcterms:modified>
</cp:coreProperties>
</file>